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Y:\FRINGE WORKSHEETS-RATES-ESTIMATED\24 FRINGE WORKSHEETS\"/>
    </mc:Choice>
  </mc:AlternateContent>
  <xr:revisionPtr revIDLastSave="0" documentId="13_ncr:1_{3BEF43F6-F875-4A14-8B7C-4F171BB170A2}" xr6:coauthVersionLast="47" xr6:coauthVersionMax="47" xr10:uidLastSave="{00000000-0000-0000-0000-000000000000}"/>
  <workbookProtection workbookAlgorithmName="SHA-512" workbookHashValue="vBNC6NwUT/ITDBEnSVLsSXAfMc2Cv7gIUkOTAJ7JxW/ORCH2+9MmU4elqMRo7cyHmUWM4QYhPdp+HL72rTvYZg==" workbookSaltValue="JwujmwqZbpr66Is55KYjug==" workbookSpinCount="100000" lockStructure="1"/>
  <bookViews>
    <workbookView xWindow="-348" yWindow="264" windowWidth="23724" windowHeight="10248" tabRatio="695" activeTab="1" xr2:uid="{00000000-000D-0000-FFFF-FFFF00000000}"/>
  </bookViews>
  <sheets>
    <sheet name="INSTRUCTIONS" sheetId="14" r:id="rId1"/>
    <sheet name="FRINGE ESTIMATOR" sheetId="9" r:id="rId2"/>
    <sheet name="CONTROLS" sheetId="10" state="hidden" r:id="rId3"/>
    <sheet name="NON FED 23-24" sheetId="7" state="hidden" r:id="rId4"/>
    <sheet name="FEDERAL 23-24" sheetId="8" state="hidden" r:id="rId5"/>
  </sheets>
  <definedNames>
    <definedName name="_xlnm.Print_Area" localSheetId="4">'FEDERAL 23-24'!$A$1:$D$64</definedName>
    <definedName name="_xlnm.Print_Area" localSheetId="1">'FRINGE ESTIMATOR'!$A$1:$K$45</definedName>
    <definedName name="_xlnm.Print_Area" localSheetId="3">'NON FED 23-24'!$A$1:$D$61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9" l="1"/>
  <c r="G29" i="9"/>
  <c r="D6" i="9" l="1"/>
  <c r="J5" i="9" l="1"/>
  <c r="K30" i="10" l="1"/>
  <c r="J30" i="10"/>
  <c r="J31" i="10"/>
  <c r="J32" i="10"/>
  <c r="J33" i="10"/>
  <c r="J34" i="10"/>
  <c r="J35" i="10"/>
  <c r="J36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23" i="10" l="1"/>
  <c r="C34" i="8" l="1"/>
  <c r="C33" i="8"/>
  <c r="C31" i="7"/>
  <c r="C24" i="7"/>
  <c r="G4" i="9" l="1"/>
  <c r="L30" i="10"/>
  <c r="D31" i="7"/>
  <c r="D24" i="7"/>
  <c r="D34" i="8"/>
  <c r="D33" i="8"/>
  <c r="J9" i="10"/>
  <c r="C26" i="8" s="1"/>
  <c r="C28" i="8" l="1"/>
  <c r="D28" i="8" s="1"/>
  <c r="F28" i="8" s="1"/>
  <c r="D26" i="8"/>
  <c r="K6" i="9"/>
  <c r="C17" i="8"/>
  <c r="D17" i="8" s="1"/>
  <c r="C19" i="8"/>
  <c r="C28" i="7"/>
  <c r="D28" i="7" s="1"/>
  <c r="C33" i="7"/>
  <c r="D33" i="7" s="1"/>
  <c r="C31" i="8"/>
  <c r="D31" i="8" s="1"/>
  <c r="C27" i="8"/>
  <c r="D27" i="8" s="1"/>
  <c r="F27" i="8" s="1"/>
  <c r="C18" i="8"/>
  <c r="C13" i="7"/>
  <c r="C25" i="8"/>
  <c r="D25" i="8" s="1"/>
  <c r="F25" i="8" s="1"/>
  <c r="C29" i="8"/>
  <c r="D29" i="8" s="1"/>
  <c r="F29" i="8" s="1"/>
  <c r="C27" i="7"/>
  <c r="D27" i="7" s="1"/>
  <c r="C23" i="8"/>
  <c r="D23" i="8" s="1"/>
  <c r="F23" i="8" s="1"/>
  <c r="C26" i="7"/>
  <c r="D26" i="7" s="1"/>
  <c r="C35" i="7"/>
  <c r="C35" i="8"/>
  <c r="C14" i="7"/>
  <c r="D14" i="7" s="1"/>
  <c r="C30" i="8"/>
  <c r="D30" i="8" s="1"/>
  <c r="C32" i="8"/>
  <c r="C16" i="8"/>
  <c r="D16" i="8" s="1"/>
  <c r="C36" i="8"/>
  <c r="C24" i="8"/>
  <c r="C15" i="8"/>
  <c r="D15" i="8" s="1"/>
  <c r="F15" i="8" s="1"/>
  <c r="C13" i="8"/>
  <c r="C14" i="8"/>
  <c r="D14" i="8" s="1"/>
  <c r="F14" i="8" s="1"/>
  <c r="C34" i="7"/>
  <c r="D34" i="7" s="1"/>
  <c r="C29" i="7"/>
  <c r="D29" i="7" s="1"/>
  <c r="C32" i="7"/>
  <c r="C18" i="7"/>
  <c r="C19" i="7"/>
  <c r="C15" i="7"/>
  <c r="D15" i="7" s="1"/>
  <c r="C16" i="7"/>
  <c r="C36" i="7"/>
  <c r="C30" i="7"/>
  <c r="D30" i="7" s="1"/>
  <c r="C23" i="7"/>
  <c r="D23" i="7" s="1"/>
  <c r="C17" i="7"/>
  <c r="D17" i="7" s="1"/>
  <c r="C25" i="7"/>
  <c r="C47" i="7" l="1"/>
  <c r="C48" i="7"/>
  <c r="C48" i="8"/>
  <c r="C47" i="8"/>
  <c r="C50" i="7"/>
  <c r="C50" i="8"/>
  <c r="F26" i="8"/>
  <c r="D13" i="8"/>
  <c r="D13" i="7"/>
  <c r="C45" i="7"/>
  <c r="D24" i="8"/>
  <c r="F24" i="8" s="1"/>
  <c r="C45" i="8"/>
  <c r="D25" i="7"/>
  <c r="D16" i="7"/>
  <c r="C42" i="7" l="1"/>
  <c r="D42" i="7" s="1"/>
  <c r="C42" i="8"/>
  <c r="D42" i="8" s="1"/>
  <c r="C44" i="7"/>
  <c r="C44" i="8"/>
  <c r="C53" i="8"/>
  <c r="F13" i="8"/>
  <c r="C49" i="8"/>
  <c r="C49" i="7"/>
  <c r="D20" i="8"/>
  <c r="C52" i="8"/>
  <c r="D37" i="8"/>
  <c r="C51" i="8"/>
  <c r="D37" i="7"/>
  <c r="D20" i="7"/>
  <c r="C43" i="7"/>
  <c r="D43" i="7" s="1"/>
  <c r="J43" i="7" s="1"/>
  <c r="C43" i="8"/>
  <c r="D48" i="8"/>
  <c r="J50" i="8" s="1"/>
  <c r="D45" i="8"/>
  <c r="J47" i="8" s="1"/>
  <c r="D50" i="8"/>
  <c r="J52" i="8" s="1"/>
  <c r="D47" i="8"/>
  <c r="J49" i="8" s="1"/>
  <c r="C37" i="8"/>
  <c r="C20" i="8"/>
  <c r="D10" i="8"/>
  <c r="C1" i="8"/>
  <c r="C37" i="7"/>
  <c r="C20" i="7"/>
  <c r="D10" i="7"/>
  <c r="C1" i="7"/>
  <c r="D51" i="8" l="1"/>
  <c r="J53" i="8" s="1"/>
  <c r="D44" i="8"/>
  <c r="J46" i="8" s="1"/>
  <c r="D49" i="8"/>
  <c r="J51" i="8" s="1"/>
  <c r="D43" i="8"/>
  <c r="D53" i="8"/>
  <c r="J44" i="8"/>
  <c r="D52" i="8"/>
  <c r="J54" i="8" s="1"/>
  <c r="C46" i="7"/>
  <c r="D46" i="7" s="1"/>
  <c r="J46" i="7" s="1"/>
  <c r="C46" i="8"/>
  <c r="C55" i="8" s="1"/>
  <c r="J42" i="7"/>
  <c r="D47" i="7"/>
  <c r="D48" i="7"/>
  <c r="D44" i="7"/>
  <c r="D49" i="7"/>
  <c r="J49" i="7" s="1"/>
  <c r="D50" i="7"/>
  <c r="D45" i="7"/>
  <c r="D39" i="7"/>
  <c r="D39" i="8"/>
  <c r="C39" i="8"/>
  <c r="C39" i="7"/>
  <c r="J55" i="8" l="1"/>
  <c r="J45" i="8"/>
  <c r="J48" i="7"/>
  <c r="I18" i="9" s="1"/>
  <c r="J18" i="9" s="1"/>
  <c r="J47" i="7"/>
  <c r="I16" i="9" s="1"/>
  <c r="J16" i="9" s="1"/>
  <c r="J45" i="7"/>
  <c r="I12" i="9" s="1"/>
  <c r="J12" i="9" s="1"/>
  <c r="J50" i="7"/>
  <c r="I22" i="9" s="1"/>
  <c r="J22" i="9" s="1"/>
  <c r="J44" i="7"/>
  <c r="I10" i="9" s="1"/>
  <c r="J10" i="9" s="1"/>
  <c r="I24" i="9"/>
  <c r="J24" i="9" s="1"/>
  <c r="I20" i="9"/>
  <c r="J20" i="9" s="1"/>
  <c r="I25" i="9"/>
  <c r="J25" i="9" s="1"/>
  <c r="I6" i="9"/>
  <c r="J6" i="9" s="1"/>
  <c r="D46" i="8"/>
  <c r="J48" i="8" s="1"/>
  <c r="C52" i="7"/>
  <c r="C9" i="7" s="1"/>
  <c r="C10" i="7" s="1"/>
  <c r="C9" i="8"/>
  <c r="C10" i="8" s="1"/>
  <c r="I8" i="9" l="1"/>
  <c r="J8" i="9" s="1"/>
  <c r="I26" i="9"/>
  <c r="J26" i="9" s="1"/>
  <c r="J57" i="8"/>
  <c r="D55" i="8"/>
  <c r="D57" i="8" s="1"/>
  <c r="I14" i="9"/>
  <c r="J14" i="9" s="1"/>
  <c r="C54" i="7"/>
  <c r="D52" i="7"/>
  <c r="D54" i="7" s="1"/>
  <c r="C57" i="8"/>
  <c r="J29" i="9" l="1"/>
  <c r="J54" i="7"/>
  <c r="J59" i="8"/>
  <c r="I29" i="9"/>
  <c r="J52" i="7"/>
  <c r="I31" i="9" l="1"/>
  <c r="K28" i="9"/>
  <c r="K31" i="9"/>
  <c r="J31" i="9" l="1"/>
</calcChain>
</file>

<file path=xl/sharedStrings.xml><?xml version="1.0" encoding="utf-8"?>
<sst xmlns="http://schemas.openxmlformats.org/spreadsheetml/2006/main" count="323" uniqueCount="193">
  <si>
    <t xml:space="preserve">REGULAR - NON FEDERAL  </t>
  </si>
  <si>
    <t>Fund/Source:</t>
  </si>
  <si>
    <t>Project Title:</t>
  </si>
  <si>
    <t>Budget Period:</t>
  </si>
  <si>
    <t xml:space="preserve">     Comments:</t>
  </si>
  <si>
    <t/>
  </si>
  <si>
    <t xml:space="preserve"> </t>
  </si>
  <si>
    <t>BUDGET APPROVED (if applicable)</t>
  </si>
  <si>
    <t>PERSONNEL &amp; FRINGE TOTAL</t>
  </si>
  <si>
    <t>AMOUNT (OVER)/UNDER BUDGET</t>
  </si>
  <si>
    <t>Position</t>
  </si>
  <si>
    <t>Enter Salary Amt</t>
  </si>
  <si>
    <t>CERTIFIED PERSONNEL</t>
  </si>
  <si>
    <t xml:space="preserve">    Administrators</t>
  </si>
  <si>
    <t xml:space="preserve">    Teachers, Resource Teachers</t>
  </si>
  <si>
    <t xml:space="preserve">    Coordinators, Specialists, Etc.</t>
  </si>
  <si>
    <t xml:space="preserve">    Part-time positions</t>
  </si>
  <si>
    <t>n/a</t>
  </si>
  <si>
    <t xml:space="preserve">    Substitutes</t>
  </si>
  <si>
    <t xml:space="preserve">    Stipends</t>
  </si>
  <si>
    <t xml:space="preserve">    Extended time Certified</t>
  </si>
  <si>
    <t xml:space="preserve">  Sub-total CERTIFIED</t>
  </si>
  <si>
    <t>CLASSIFIED PERSONNEL</t>
  </si>
  <si>
    <t xml:space="preserve">    Employees with KTRS</t>
  </si>
  <si>
    <t xml:space="preserve">    Teachers, Instructors</t>
  </si>
  <si>
    <t xml:space="preserve">    Clerks, Aides, Assistants</t>
  </si>
  <si>
    <t xml:space="preserve">    Lunchroom Employees</t>
  </si>
  <si>
    <t xml:space="preserve">    Custodians (and all others)</t>
  </si>
  <si>
    <t xml:space="preserve">    Drivers</t>
  </si>
  <si>
    <t xml:space="preserve">    Student Workers - School Yr</t>
  </si>
  <si>
    <t xml:space="preserve">    Student Workers - Summer</t>
  </si>
  <si>
    <t xml:space="preserve">    Extended time Classified CERS</t>
  </si>
  <si>
    <t xml:space="preserve">    Extended time Classified KTRS</t>
  </si>
  <si>
    <t xml:space="preserve">  Sub-total CLASSIFIED</t>
  </si>
  <si>
    <t>PERSONNEL TOTAL</t>
  </si>
  <si>
    <t>FRINGES</t>
  </si>
  <si>
    <t xml:space="preserve">    Life Insurance</t>
  </si>
  <si>
    <t xml:space="preserve">    Liability Insurance</t>
  </si>
  <si>
    <t xml:space="preserve">    Long Term Disability</t>
  </si>
  <si>
    <t xml:space="preserve">    FICA</t>
  </si>
  <si>
    <t xml:space="preserve">    Medicare Match</t>
  </si>
  <si>
    <t xml:space="preserve">    KTRS </t>
  </si>
  <si>
    <t xml:space="preserve">    CERS</t>
  </si>
  <si>
    <t xml:space="preserve">    Unemployment</t>
  </si>
  <si>
    <t xml:space="preserve">    Workers Compensation</t>
  </si>
  <si>
    <t>FRINGE TOTAL</t>
  </si>
  <si>
    <t>BUDGET APPROVED</t>
  </si>
  <si>
    <t>If you have an amount that must cover both salaries &amp; fringes, enter</t>
  </si>
  <si>
    <t xml:space="preserve">that amount on the "Budget Approved" line (TOP SECTION OF </t>
  </si>
  <si>
    <t>WORKSHEET) and adjust until the line "Amount Over/Under Budget"</t>
  </si>
  <si>
    <t>is 0. (Goal Seek Function)</t>
  </si>
  <si>
    <t>Do this one category at a time.</t>
  </si>
  <si>
    <r>
      <t xml:space="preserve">REGULAR - </t>
    </r>
    <r>
      <rPr>
        <b/>
        <sz val="14"/>
        <color indexed="10"/>
        <rFont val="Arial MT"/>
      </rPr>
      <t xml:space="preserve">FEDERAL  </t>
    </r>
  </si>
  <si>
    <t xml:space="preserve">    Health Insurance</t>
  </si>
  <si>
    <t xml:space="preserve">    State Life Insurance</t>
  </si>
  <si>
    <t xml:space="preserve">    State Administrative Fee</t>
  </si>
  <si>
    <r>
      <t>Enter #</t>
    </r>
    <r>
      <rPr>
        <b/>
        <u/>
        <sz val="11"/>
        <rFont val="Arial MT"/>
      </rPr>
      <t xml:space="preserve"> </t>
    </r>
    <r>
      <rPr>
        <b/>
        <sz val="11"/>
        <rFont val="Arial MT"/>
      </rPr>
      <t>Employees</t>
    </r>
  </si>
  <si>
    <t>Enter # Employees</t>
  </si>
  <si>
    <t>FRINGE ESTIMATOR</t>
  </si>
  <si>
    <t>FEDERAL</t>
  </si>
  <si>
    <t># Employees</t>
  </si>
  <si>
    <t># employees</t>
  </si>
  <si>
    <t>CLASSIFIED</t>
  </si>
  <si>
    <t>CERTIFIED</t>
  </si>
  <si>
    <t>REGULAR NON-FEDERAL</t>
  </si>
  <si>
    <t xml:space="preserve">    CERTIFIED PART-TIME POSITIONS</t>
  </si>
  <si>
    <t xml:space="preserve">    CERTIFIED SUBSTITUTES</t>
  </si>
  <si>
    <t xml:space="preserve">    CERTIFIED STIPENDS</t>
  </si>
  <si>
    <t xml:space="preserve">    CERTIFIED EXTENDED TIME CERTIFIED</t>
  </si>
  <si>
    <t xml:space="preserve">    CLASSIFIED ADMINISTRATORS</t>
  </si>
  <si>
    <t xml:space="preserve">    CLASSIFIED LUNCHROOM EMPLOYEES</t>
  </si>
  <si>
    <t xml:space="preserve">    CERTIFIED ADMINISTRATORS</t>
  </si>
  <si>
    <t xml:space="preserve">    CERTIFIED TEACHERS, RESOURCE TEACHERS</t>
  </si>
  <si>
    <t xml:space="preserve">    CERTIFIED COORDINATORS, SPECIALISTS, ETC.</t>
  </si>
  <si>
    <t xml:space="preserve">    CLASSIFIED CUSTODIANS (AND ALL OTHERS)</t>
  </si>
  <si>
    <t xml:space="preserve">    CLASSIFIED PART-TIME POSITIONS</t>
  </si>
  <si>
    <t xml:space="preserve">    CLASSIFIED SUBSTITUTES</t>
  </si>
  <si>
    <t xml:space="preserve">    CLASSIFIED STIPENDS</t>
  </si>
  <si>
    <t xml:space="preserve">    CLASSIFIED STUDENT WORKERS - SCHOOL YR</t>
  </si>
  <si>
    <t xml:space="preserve">    CLASSIFIED STUDENT WORKERS - SUMMER</t>
  </si>
  <si>
    <t xml:space="preserve">    CLASSIFIED EXTENDED TIME CLASSIFIED CERS</t>
  </si>
  <si>
    <t xml:space="preserve">    CLASSIFIED EXTENDED TIME CLASSIFIED KTRS</t>
  </si>
  <si>
    <t>SELECT ONE:</t>
  </si>
  <si>
    <t>Select Grant Type</t>
  </si>
  <si>
    <t>Salary</t>
  </si>
  <si>
    <t>fringe * # empl</t>
  </si>
  <si>
    <t>fringe for 1 empl</t>
  </si>
  <si>
    <t>EVERYTHING MUST STAY IN THE CELL IT IS IN NOW.</t>
  </si>
  <si>
    <t>Position number</t>
  </si>
  <si>
    <t>total salaries + fringes (NOT FOR STIPEND/EXT TIME USE)</t>
  </si>
  <si>
    <t>use this total for stipend/ext time only</t>
  </si>
  <si>
    <t>PERSONNEL + FRINGES</t>
  </si>
  <si>
    <t>MUNIS OBJECT</t>
  </si>
  <si>
    <t xml:space="preserve">    Federal Health Insurance</t>
  </si>
  <si>
    <t xml:space="preserve">    Federal State Life Insurance</t>
  </si>
  <si>
    <t xml:space="preserve">    Federal State Administrative Fee</t>
  </si>
  <si>
    <t>FAQ</t>
  </si>
  <si>
    <t>Instructions</t>
  </si>
  <si>
    <t>MATRIX</t>
  </si>
  <si>
    <t>A= 2,2 [regular, classified]</t>
  </si>
  <si>
    <t>B=2,3 [regular, certified]</t>
  </si>
  <si>
    <t>C=3,2 [federal, classified]</t>
  </si>
  <si>
    <t>D=3,3 [federal, certified]</t>
  </si>
  <si>
    <t>is used in an IF statement to add a title</t>
  </si>
  <si>
    <t>to the fringes page.</t>
  </si>
  <si>
    <t xml:space="preserve">Below is based on matrix above and </t>
  </si>
  <si>
    <t>DO NOT MOVE ANYTHING.  DO NOT DELETE ANYTHING.</t>
  </si>
  <si>
    <t>Clas or Cert</t>
  </si>
  <si>
    <t>Pos #</t>
  </si>
  <si>
    <t>Select Job Type</t>
  </si>
  <si>
    <t>THIS IS USED FOR ERROR MESSAGE IN FRINGE TOTAL CELL</t>
  </si>
  <si>
    <t>CELL LINKS FROM THE DROP DOWN BOXES (column J populates based on choices made in drop downs):</t>
  </si>
  <si>
    <t>(ABS)</t>
  </si>
  <si>
    <t>Concatenated</t>
  </si>
  <si>
    <t>Clas/Cert-Pos</t>
  </si>
  <si>
    <t>FRINGE ESTIMATOR INSTRUCTIONS</t>
  </si>
  <si>
    <t>Select Job Type:  Choose Classified or Certified</t>
  </si>
  <si>
    <t xml:space="preserve">Fringes will calculate in the box to the right of the input section.  If the Job Type and Position Type </t>
  </si>
  <si>
    <t>do not match, the following error message will be displayed:</t>
  </si>
  <si>
    <t>FREQUENTLY ASKED QUESTIONS</t>
  </si>
  <si>
    <t>Q. Why has the fringe calculator changed?</t>
  </si>
  <si>
    <t>A.  So that it will be more accurate and user friendly!</t>
  </si>
  <si>
    <t xml:space="preserve">Q.  How can I tell if the grant is Federal or Non-Federal.  </t>
  </si>
  <si>
    <t>(2=reg; 4=FED)</t>
  </si>
  <si>
    <t>(2=clas; 4=cert)</t>
  </si>
  <si>
    <t xml:space="preserve">  FRINGE CATEGORY</t>
  </si>
  <si>
    <t xml:space="preserve"> FRINGES @</t>
  </si>
  <si>
    <t>HIDE THIS COL</t>
  </si>
  <si>
    <t>SALARY + FRINGES</t>
  </si>
  <si>
    <t>ENTER % OF SALARY/FRINGES FUNDED BY THE GRANT ---------&gt;&gt;</t>
  </si>
  <si>
    <t xml:space="preserve">*Note:  Stipend/Ext time is not </t>
  </si>
  <si>
    <t>charged liability ins or state admin fee</t>
  </si>
  <si>
    <t>for stipend/ext time</t>
  </si>
  <si>
    <t>Formulas round to 0 places</t>
  </si>
  <si>
    <t>*Note: formulas in col C for fringe calcs must</t>
  </si>
  <si>
    <t>*NOTE: COLUMN "I" IS HIDDEN ON THE DATA INPUT TAB.  ANY CHANGES TO FORMULAS MUST OCCUR IN "I", NOT "J"</t>
  </si>
  <si>
    <t>FRINGE CALCULATION</t>
  </si>
  <si>
    <t>Financial Planning Contact Info</t>
  </si>
  <si>
    <t>400-3438  or 485-3438</t>
  </si>
  <si>
    <t xml:space="preserve">     it is most likely a federal grant.</t>
  </si>
  <si>
    <t xml:space="preserve">A.  A good rule of thumb is that if the project number begins with a number other than 0 or 1, </t>
  </si>
  <si>
    <t xml:space="preserve">     You can always call Financial Planning at 485-3438 if you are unsure.  We are glad to help.</t>
  </si>
  <si>
    <t xml:space="preserve">      If I have a split-funded position, how do I determine the amount of fringes to charge?</t>
  </si>
  <si>
    <t>Q.  The drop down box for number of employees does not allow for partial positions.</t>
  </si>
  <si>
    <t>A.  For split funded positions you will enter the percentage to be charged to the grant on the</t>
  </si>
  <si>
    <t xml:space="preserve">     Data Input tab.  See Step 1 above.</t>
  </si>
  <si>
    <t xml:space="preserve">Select Grant Type:  Choose Regular Non-Federal or Federal.  If you are unsure whether the grant is federal or not, a good rule of thumb is that if the project begins with a number other than   0 or 1, it is most likely a federal grant.  </t>
  </si>
  <si>
    <t xml:space="preserve">    CLASSIFIED CLERKS, SECRETARIES, ASSISTANTS, DATA TECHS, BOOKKEEPERS</t>
  </si>
  <si>
    <t xml:space="preserve">    CLASSIFIED EMPLOYEES WITH KTRS (INCLUDES INSTRUCTOR III)</t>
  </si>
  <si>
    <t xml:space="preserve">    CLASSIFIED TEACHERS, INSTRUCTOR I, INSTRUCTOR II</t>
  </si>
  <si>
    <t>Q.  The grant is paying for a part-time position.  What percentage do I input in Step 1?</t>
  </si>
  <si>
    <t>A.  If the grant is paying 100% of the part-time salary, then input 100.  If the grant is only partially</t>
  </si>
  <si>
    <t xml:space="preserve">     funding the position, then input the percentage that the grant is paying.</t>
  </si>
  <si>
    <t xml:space="preserve">Select Position Type </t>
  </si>
  <si>
    <r>
      <t xml:space="preserve">Select Position Type:  Select one of the certified or classified position types listed in the box.  </t>
    </r>
    <r>
      <rPr>
        <b/>
        <sz val="12"/>
        <rFont val="Arial MT"/>
      </rPr>
      <t>Make sure that the position type selected matches the job type chosen in step 3.</t>
    </r>
  </si>
  <si>
    <t>Project #</t>
  </si>
  <si>
    <t>Other:</t>
  </si>
  <si>
    <t>Partial Salary Amt, if applicable</t>
  </si>
  <si>
    <t xml:space="preserve">Notes: </t>
  </si>
  <si>
    <r>
      <t xml:space="preserve">Percentage Paid by Grant:  If the grant is fully funding the cost of salary/fringes, enter 100. </t>
    </r>
    <r>
      <rPr>
        <u/>
        <sz val="12"/>
        <color rgb="FFFF0000"/>
        <rFont val="Arial MT"/>
      </rPr>
      <t xml:space="preserve">          </t>
    </r>
  </si>
  <si>
    <t>You will need to change either the Job Type or                      position type in order for fringes to calculate                          correctly.</t>
  </si>
  <si>
    <t>LINE #</t>
  </si>
  <si>
    <r>
      <t>Enter Salary Below:</t>
    </r>
    <r>
      <rPr>
        <b/>
        <sz val="12"/>
        <color theme="4" tint="0.59999389629810485"/>
        <rFont val="Verdana"/>
        <family val="2"/>
        <scheme val="minor"/>
      </rPr>
      <t xml:space="preserve"> (enter full salary amount)</t>
    </r>
  </si>
  <si>
    <r>
      <t xml:space="preserve">Select # of Employees </t>
    </r>
    <r>
      <rPr>
        <b/>
        <sz val="12"/>
        <color theme="4" tint="0.59999389629810485"/>
        <rFont val="Verdana"/>
        <family val="2"/>
        <scheme val="minor"/>
      </rPr>
      <t>(select 1 for stipend or extended time)</t>
    </r>
  </si>
  <si>
    <t xml:space="preserve">Fund Source / Program:  </t>
  </si>
  <si>
    <t>School / Employee:</t>
  </si>
  <si>
    <t xml:space="preserve">    CLASSIFIED DRIVERS, MECHANICS</t>
  </si>
  <si>
    <t>Click here for list of common "Classified with KTRS" positions</t>
  </si>
  <si>
    <t>COMMON "CLASSIFIED WITH KTRS" POSITIONS</t>
  </si>
  <si>
    <t>8250-8251</t>
  </si>
  <si>
    <t xml:space="preserve">   COORDINATOR FRYSC/YSC</t>
  </si>
  <si>
    <t xml:space="preserve">   ERSEA COORDINATOR</t>
  </si>
  <si>
    <t xml:space="preserve">   FAMILY SERVICES SPECIALIST</t>
  </si>
  <si>
    <t xml:space="preserve">   HEALTH SERVICES NURSE PRACTITIONER</t>
  </si>
  <si>
    <t xml:space="preserve">   MENTAL HEALTH COUNSELOR</t>
  </si>
  <si>
    <t xml:space="preserve">   REGISTERED NURSE</t>
  </si>
  <si>
    <t>8774 -8775</t>
  </si>
  <si>
    <t xml:space="preserve">   SCHOOL SOCIAL WORKER</t>
  </si>
  <si>
    <t>VARIOUS</t>
  </si>
  <si>
    <t xml:space="preserve">   INSTRUCTOR III</t>
  </si>
  <si>
    <t xml:space="preserve">   CAREER PLANNER</t>
  </si>
  <si>
    <t xml:space="preserve">   AUDIOLOGIST</t>
  </si>
  <si>
    <r>
      <t xml:space="preserve">   </t>
    </r>
    <r>
      <rPr>
        <b/>
        <u/>
        <sz val="11"/>
        <color rgb="FF002060"/>
        <rFont val="Verdana"/>
        <family val="2"/>
        <scheme val="minor"/>
      </rPr>
      <t>ADULT ED</t>
    </r>
    <r>
      <rPr>
        <sz val="12"/>
        <color rgb="FF002060"/>
        <rFont val="Arial MT"/>
      </rPr>
      <t xml:space="preserve"> INSTRUCTOR</t>
    </r>
    <r>
      <rPr>
        <b/>
        <sz val="12"/>
        <color rgb="FF002060"/>
        <rFont val="Arial MT"/>
      </rPr>
      <t xml:space="preserve"> </t>
    </r>
    <r>
      <rPr>
        <b/>
        <u/>
        <sz val="11"/>
        <color rgb="FF002060"/>
        <rFont val="Verdana"/>
        <family val="2"/>
        <scheme val="minor"/>
      </rPr>
      <t>II</t>
    </r>
    <r>
      <rPr>
        <sz val="12"/>
        <color rgb="FF002060"/>
        <rFont val="Arial MT"/>
      </rPr>
      <t xml:space="preserve"> PT</t>
    </r>
  </si>
  <si>
    <r>
      <t xml:space="preserve">Select # of Employees:  Choose number of employees for which you need to estimate fringes.   </t>
    </r>
    <r>
      <rPr>
        <b/>
        <u/>
        <sz val="12"/>
        <color rgb="FFFF0000"/>
        <rFont val="Arial MT"/>
      </rPr>
      <t>IMPORTANT:</t>
    </r>
    <r>
      <rPr>
        <sz val="12"/>
        <rFont val="Arial MT"/>
      </rPr>
      <t xml:space="preserve">  </t>
    </r>
    <r>
      <rPr>
        <b/>
        <u/>
        <sz val="11"/>
        <color rgb="FFFF0000"/>
        <rFont val="Verdana"/>
        <family val="2"/>
        <scheme val="minor"/>
      </rPr>
      <t>If you are estimating fringes for stipend pay or extended time, ALWAYS choose "1" for the number of employees.</t>
    </r>
  </si>
  <si>
    <r>
      <t xml:space="preserve">Enter Salary:  Enter the total salary amount for the number of employees chosen in step 4. </t>
    </r>
    <r>
      <rPr>
        <u/>
        <sz val="12"/>
        <rFont val="Arial MT"/>
      </rPr>
      <t xml:space="preserve">   </t>
    </r>
    <r>
      <rPr>
        <b/>
        <u/>
        <sz val="12"/>
        <color rgb="FFFF0000"/>
        <rFont val="Arial MT"/>
      </rPr>
      <t xml:space="preserve">     IMPORTANT:</t>
    </r>
    <r>
      <rPr>
        <u/>
        <sz val="12"/>
        <rFont val="Arial MT"/>
      </rPr>
      <t xml:space="preserve"> </t>
    </r>
    <r>
      <rPr>
        <b/>
        <u/>
        <sz val="12"/>
        <color rgb="FFFF0000"/>
        <rFont val="Arial MT"/>
      </rPr>
      <t>For full-time/part-time positions that are being partially funded by the grant, enter the full-time/part-time salary amount - NOT the partially funded salary amount.</t>
    </r>
    <r>
      <rPr>
        <sz val="12"/>
        <color rgb="FFFF0000"/>
        <rFont val="Arial MT"/>
      </rPr>
      <t xml:space="preserve"> </t>
    </r>
    <r>
      <rPr>
        <sz val="12"/>
        <rFont val="Arial MT"/>
      </rPr>
      <t xml:space="preserve">                                                                                 </t>
    </r>
    <r>
      <rPr>
        <b/>
        <sz val="12"/>
        <rFont val="Arial MT"/>
      </rPr>
      <t xml:space="preserve"> </t>
    </r>
    <r>
      <rPr>
        <b/>
        <sz val="11"/>
        <rFont val="Verdana"/>
        <family val="2"/>
        <scheme val="minor"/>
      </rPr>
      <t xml:space="preserve">If estimating for stipend pay or extended time, enter the total amount that will be paid.  </t>
    </r>
  </si>
  <si>
    <r>
      <rPr>
        <b/>
        <u/>
        <sz val="12"/>
        <color rgb="FFFF0000"/>
        <rFont val="Arial MT"/>
      </rPr>
      <t>IMPORTANT:</t>
    </r>
    <r>
      <rPr>
        <u/>
        <sz val="12"/>
        <rFont val="Arial MT"/>
      </rPr>
      <t xml:space="preserve"> </t>
    </r>
    <r>
      <rPr>
        <b/>
        <u/>
        <sz val="12"/>
        <color rgb="FFFF0000"/>
        <rFont val="Arial MT"/>
      </rPr>
      <t xml:space="preserve">If the grant is partially funding the cost of salary/fringes, enter the percentage that the grant is funding.  </t>
    </r>
    <r>
      <rPr>
        <u/>
        <sz val="12"/>
        <rFont val="Arial MT"/>
      </rPr>
      <t xml:space="preserve">The partial salary amount will populate automatically. </t>
    </r>
  </si>
  <si>
    <t xml:space="preserve">Grants are responsible for actual charges for all fringe benefits even if the </t>
  </si>
  <si>
    <t xml:space="preserve">actual cost exceeds the estimates. </t>
  </si>
  <si>
    <t>Contact Us</t>
  </si>
  <si>
    <t>still calculate an amount based on the total # of positions.</t>
  </si>
  <si>
    <t xml:space="preserve">remain rounded at 2 places so that when the fringe is &lt; $1, it will </t>
  </si>
  <si>
    <r>
      <t xml:space="preserve">FY 2023-24 </t>
    </r>
    <r>
      <rPr>
        <b/>
        <sz val="10"/>
        <color theme="2" tint="-0.89999084444715716"/>
        <rFont val="Verdana"/>
        <family val="2"/>
        <scheme val="minor"/>
      </rPr>
      <t>(Rev 1/6/23)</t>
    </r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</si>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</sst>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_)"/>
    <numFmt numFmtId="165" formatCode="0.00_)"/>
    <numFmt numFmtId="166" formatCode="&quot;$&quot;#,##0"/>
    <numFmt numFmtId="167" formatCode="0000"/>
  </numFmts>
  <fonts count="78">
    <font>
      <sz val="12"/>
      <name val="Arial MT"/>
    </font>
    <font>
      <b/>
      <sz val="12"/>
      <name val="Arial MT"/>
    </font>
    <font>
      <sz val="8"/>
      <name val="Arial MT"/>
    </font>
    <font>
      <b/>
      <sz val="12"/>
      <color indexed="10"/>
      <name val="Arial MT"/>
    </font>
    <font>
      <sz val="12"/>
      <color indexed="12"/>
      <name val="Arial MT"/>
    </font>
    <font>
      <b/>
      <i/>
      <sz val="8"/>
      <color indexed="10"/>
      <name val="Arial MT"/>
    </font>
    <font>
      <b/>
      <sz val="11"/>
      <name val="Arial MT"/>
    </font>
    <font>
      <b/>
      <u/>
      <sz val="11"/>
      <name val="Arial MT"/>
    </font>
    <font>
      <b/>
      <i/>
      <sz val="9"/>
      <color indexed="10"/>
      <name val="Arial MT"/>
    </font>
    <font>
      <b/>
      <sz val="8"/>
      <name val="Arial MT"/>
    </font>
    <font>
      <sz val="14"/>
      <name val="Arial MT"/>
    </font>
    <font>
      <b/>
      <sz val="14"/>
      <color indexed="10"/>
      <name val="Arial MT"/>
    </font>
    <font>
      <b/>
      <sz val="14"/>
      <name val="Arial MT"/>
    </font>
    <font>
      <sz val="10"/>
      <name val="Arial"/>
      <family val="2"/>
    </font>
    <font>
      <sz val="11"/>
      <name val="Arial MT"/>
    </font>
    <font>
      <sz val="12"/>
      <color rgb="FFFF0000"/>
      <name val="Arial MT"/>
    </font>
    <font>
      <b/>
      <sz val="9"/>
      <color rgb="FFC00000"/>
      <name val="Arial MT"/>
    </font>
    <font>
      <b/>
      <sz val="12"/>
      <color rgb="FF00B050"/>
      <name val="Arial MT"/>
    </font>
    <font>
      <b/>
      <sz val="28"/>
      <color rgb="FF0000FF"/>
      <name val="Verdana"/>
      <family val="2"/>
      <scheme val="minor"/>
    </font>
    <font>
      <b/>
      <sz val="12"/>
      <name val="Verdana"/>
      <family val="2"/>
      <scheme val="minor"/>
    </font>
    <font>
      <b/>
      <sz val="18"/>
      <name val="Verdana"/>
      <family val="2"/>
      <scheme val="minor"/>
    </font>
    <font>
      <sz val="12"/>
      <name val="Verdana"/>
      <family val="2"/>
      <scheme val="minor"/>
    </font>
    <font>
      <b/>
      <sz val="14"/>
      <name val="Verdana"/>
      <family val="2"/>
      <scheme val="minor"/>
    </font>
    <font>
      <u/>
      <sz val="12"/>
      <name val="Verdana"/>
      <family val="2"/>
      <scheme val="minor"/>
    </font>
    <font>
      <b/>
      <i/>
      <u/>
      <sz val="18"/>
      <color rgb="FFFF0000"/>
      <name val="Arial MT"/>
    </font>
    <font>
      <sz val="14"/>
      <color theme="8" tint="-0.249977111117893"/>
      <name val="Arial MT"/>
    </font>
    <font>
      <sz val="12"/>
      <color theme="8" tint="-0.249977111117893"/>
      <name val="Arial MT"/>
    </font>
    <font>
      <b/>
      <sz val="14"/>
      <color theme="8" tint="-0.249977111117893"/>
      <name val="Arial MT"/>
    </font>
    <font>
      <b/>
      <sz val="14"/>
      <color theme="0"/>
      <name val="Verdana"/>
      <family val="2"/>
      <scheme val="minor"/>
    </font>
    <font>
      <b/>
      <sz val="12"/>
      <color rgb="FFFF0000"/>
      <name val="Verdana"/>
      <family val="2"/>
      <scheme val="minor"/>
    </font>
    <font>
      <b/>
      <sz val="12"/>
      <color theme="4" tint="0.59999389629810485"/>
      <name val="Verdana"/>
      <family val="2"/>
      <scheme val="minor"/>
    </font>
    <font>
      <b/>
      <sz val="11"/>
      <color rgb="FFFF0000"/>
      <name val="Verdana"/>
      <family val="2"/>
      <scheme val="minor"/>
    </font>
    <font>
      <b/>
      <sz val="12"/>
      <color theme="8" tint="-0.249977111117893"/>
      <name val="Arial MT"/>
    </font>
    <font>
      <u/>
      <sz val="12"/>
      <color theme="10"/>
      <name val="Arial MT"/>
    </font>
    <font>
      <sz val="24"/>
      <color theme="9" tint="-0.499984740745262"/>
      <name val="Berlin Sans FB"/>
      <family val="2"/>
    </font>
    <font>
      <sz val="12"/>
      <name val="Arial MT"/>
    </font>
    <font>
      <b/>
      <sz val="11"/>
      <color rgb="FF0000FF"/>
      <name val="Verdana"/>
      <family val="2"/>
      <scheme val="minor"/>
    </font>
    <font>
      <b/>
      <sz val="10"/>
      <name val="Arial MT"/>
    </font>
    <font>
      <sz val="13"/>
      <name val="Arial MT"/>
    </font>
    <font>
      <sz val="14"/>
      <name val="Verdana"/>
      <family val="2"/>
      <scheme val="minor"/>
    </font>
    <font>
      <b/>
      <sz val="12"/>
      <color theme="0"/>
      <name val="Arial MT"/>
    </font>
    <font>
      <b/>
      <sz val="12"/>
      <color theme="0"/>
      <name val="Verdana"/>
      <family val="2"/>
      <scheme val="minor"/>
    </font>
    <font>
      <b/>
      <sz val="11"/>
      <name val="Verdana"/>
      <family val="2"/>
      <scheme val="minor"/>
    </font>
    <font>
      <b/>
      <sz val="12"/>
      <color theme="4" tint="0.79998168889431442"/>
      <name val="Verdana"/>
      <family val="2"/>
      <scheme val="minor"/>
    </font>
    <font>
      <sz val="10"/>
      <name val="Arial MT"/>
    </font>
    <font>
      <b/>
      <sz val="12"/>
      <color theme="10"/>
      <name val="Arial MT"/>
    </font>
    <font>
      <b/>
      <u/>
      <sz val="16"/>
      <color rgb="FF6600FF"/>
      <name val="Arial MT"/>
    </font>
    <font>
      <u/>
      <sz val="12"/>
      <name val="Arial Rounded MT Bold"/>
      <family val="2"/>
    </font>
    <font>
      <u/>
      <sz val="12"/>
      <name val="Arial MT"/>
    </font>
    <font>
      <b/>
      <u/>
      <sz val="12"/>
      <color rgb="FFFF0000"/>
      <name val="Arial MT"/>
    </font>
    <font>
      <u/>
      <sz val="12"/>
      <color rgb="FFFF0000"/>
      <name val="Arial MT"/>
    </font>
    <font>
      <b/>
      <u/>
      <sz val="11"/>
      <color rgb="FFFF0000"/>
      <name val="Verdana"/>
      <family val="2"/>
      <scheme val="minor"/>
    </font>
    <font>
      <sz val="14"/>
      <name val="Arial Rounded MT Bold"/>
      <family val="2"/>
    </font>
    <font>
      <b/>
      <sz val="14"/>
      <color theme="4" tint="0.39997558519241921"/>
      <name val="Verdana"/>
      <family val="2"/>
      <scheme val="minor"/>
    </font>
    <font>
      <b/>
      <sz val="11"/>
      <color theme="4" tint="0.39997558519241921"/>
      <name val="Verdana"/>
      <family val="2"/>
      <scheme val="minor"/>
    </font>
    <font>
      <b/>
      <sz val="14"/>
      <color rgb="FF7030A0"/>
      <name val="Arial MT"/>
    </font>
    <font>
      <b/>
      <sz val="10"/>
      <color rgb="FF7030A0"/>
      <name val="Arial MT"/>
    </font>
    <font>
      <b/>
      <sz val="20"/>
      <color theme="8" tint="-0.249977111117893"/>
      <name val="Arial MT"/>
    </font>
    <font>
      <b/>
      <sz val="11"/>
      <color theme="1" tint="0.249977111117893"/>
      <name val="Verdana"/>
      <family val="2"/>
      <scheme val="minor"/>
    </font>
    <font>
      <sz val="11"/>
      <name val="Verdana"/>
      <family val="2"/>
      <scheme val="minor"/>
    </font>
    <font>
      <b/>
      <sz val="15"/>
      <color rgb="FFA40000"/>
      <name val="Arial MT"/>
    </font>
    <font>
      <b/>
      <sz val="16"/>
      <color rgb="FFFFFF00"/>
      <name val="Arial MT"/>
    </font>
    <font>
      <b/>
      <sz val="12"/>
      <color rgb="FF0000FF"/>
      <name val="Arial MT"/>
    </font>
    <font>
      <b/>
      <u/>
      <sz val="12"/>
      <color rgb="FF0000FF"/>
      <name val="Arial MT"/>
    </font>
    <font>
      <sz val="12"/>
      <color rgb="FF002060"/>
      <name val="Arial MT"/>
    </font>
    <font>
      <b/>
      <u/>
      <sz val="11"/>
      <color rgb="FF002060"/>
      <name val="Verdana"/>
      <family val="2"/>
      <scheme val="minor"/>
    </font>
    <font>
      <b/>
      <sz val="12"/>
      <color rgb="FF002060"/>
      <name val="Arial MT"/>
    </font>
    <font>
      <u/>
      <sz val="24"/>
      <color rgb="FF0000FF"/>
      <name val="Berlin Sans FB"/>
      <family val="2"/>
    </font>
    <font>
      <b/>
      <sz val="14"/>
      <color theme="1" tint="4.9989318521683403E-2"/>
      <name val="Arial MT"/>
    </font>
    <font>
      <b/>
      <u/>
      <sz val="14"/>
      <name val="Arial MT"/>
    </font>
    <font>
      <b/>
      <u/>
      <sz val="15"/>
      <name val="Arial MT"/>
    </font>
    <font>
      <b/>
      <i/>
      <sz val="10"/>
      <name val="Arial MT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6"/>
      <color theme="2" tint="-0.89999084444715716"/>
      <name val="Verdana"/>
      <family val="2"/>
      <scheme val="minor"/>
    </font>
    <font>
      <b/>
      <sz val="10"/>
      <color theme="2" tint="-0.89999084444715716"/>
      <name val="Verdana"/>
      <family val="2"/>
      <scheme val="minor"/>
    </font>
    <font>
      <b/>
      <sz val="18"/>
      <color theme="4" tint="0.79998168889431442"/>
      <name val="Verdana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E5E1A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4659260841701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9AF52B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auto="1"/>
      </patternFill>
    </fill>
    <fill>
      <patternFill patternType="solid">
        <fgColor rgb="FFFFFF66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4.9989318521683403E-2"/>
      </bottom>
      <diagonal/>
    </border>
    <border>
      <left style="thin">
        <color indexed="64"/>
      </left>
      <right/>
      <top style="thin">
        <color indexed="64"/>
      </top>
      <bottom style="thick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ck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7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7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7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7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4" tint="-0.24994659260841701"/>
      </left>
      <right style="thin">
        <color theme="4" tint="0.39994506668294322"/>
      </right>
      <top style="medium">
        <color theme="4" tint="-0.2499465926084170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5" tint="-0.24994659260841701"/>
      </left>
      <right style="thick">
        <color theme="5" tint="-0.24994659260841701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medium">
        <color theme="4" tint="-0.24994659260841701"/>
      </bottom>
      <diagonal/>
    </border>
    <border>
      <left style="medium">
        <color rgb="FFA50021"/>
      </left>
      <right/>
      <top style="medium">
        <color rgb="FFA50021"/>
      </top>
      <bottom/>
      <diagonal/>
    </border>
    <border>
      <left/>
      <right/>
      <top style="medium">
        <color rgb="FFA50021"/>
      </top>
      <bottom/>
      <diagonal/>
    </border>
    <border>
      <left/>
      <right style="medium">
        <color rgb="FFA50021"/>
      </right>
      <top style="medium">
        <color rgb="FFA50021"/>
      </top>
      <bottom/>
      <diagonal/>
    </border>
    <border>
      <left style="medium">
        <color rgb="FFA50021"/>
      </left>
      <right/>
      <top/>
      <bottom/>
      <diagonal/>
    </border>
    <border>
      <left/>
      <right style="medium">
        <color rgb="FFA50021"/>
      </right>
      <top/>
      <bottom/>
      <diagonal/>
    </border>
    <border>
      <left style="medium">
        <color rgb="FFA50021"/>
      </left>
      <right/>
      <top/>
      <bottom style="medium">
        <color rgb="FFA50021"/>
      </bottom>
      <diagonal/>
    </border>
    <border>
      <left/>
      <right/>
      <top/>
      <bottom style="medium">
        <color rgb="FFA50021"/>
      </bottom>
      <diagonal/>
    </border>
    <border>
      <left/>
      <right style="medium">
        <color rgb="FFA50021"/>
      </right>
      <top/>
      <bottom style="medium">
        <color rgb="FFA5002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0.39994506668294322"/>
      </left>
      <right/>
      <top style="medium">
        <color theme="4" tint="-0.24994659260841701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0.39994506668294322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medium">
        <color theme="4" tint="-0.2499465926084170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theme="4" tint="-0.24994659260841701"/>
      </right>
      <top style="thin">
        <color theme="4" tint="0.39994506668294322"/>
      </top>
      <bottom style="thin">
        <color theme="4" tint="0.39991454817346722"/>
      </bottom>
      <diagonal/>
    </border>
    <border>
      <left style="medium">
        <color theme="4" tint="-0.2499465926084170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rgb="FF5EFCB1"/>
      </left>
      <right style="thick">
        <color rgb="FF5EFCB1"/>
      </right>
      <top style="thick">
        <color rgb="FF5EFCB1"/>
      </top>
      <bottom/>
      <diagonal/>
    </border>
    <border>
      <left style="thick">
        <color rgb="FF5EFCB1"/>
      </left>
      <right style="thick">
        <color rgb="FF5EFCB1"/>
      </right>
      <top/>
      <bottom style="thick">
        <color rgb="FF5EFCB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/>
      <diagonal/>
    </border>
    <border>
      <left style="slantDashDot">
        <color theme="1" tint="0.34998626667073579"/>
      </left>
      <right/>
      <top style="slantDashDot">
        <color theme="1" tint="0.34998626667073579"/>
      </top>
      <bottom/>
      <diagonal/>
    </border>
    <border>
      <left/>
      <right/>
      <top style="slantDashDot">
        <color theme="1" tint="0.34998626667073579"/>
      </top>
      <bottom style="thin">
        <color indexed="64"/>
      </bottom>
      <diagonal/>
    </border>
    <border>
      <left/>
      <right/>
      <top style="slantDashDot">
        <color theme="1" tint="0.34998626667073579"/>
      </top>
      <bottom/>
      <diagonal/>
    </border>
    <border>
      <left/>
      <right style="slantDashDot">
        <color theme="1" tint="0.34998626667073579"/>
      </right>
      <top style="slantDashDot">
        <color theme="1" tint="0.34998626667073579"/>
      </top>
      <bottom style="thin">
        <color indexed="64"/>
      </bottom>
      <diagonal/>
    </border>
    <border>
      <left style="slantDashDot">
        <color theme="1" tint="0.34998626667073579"/>
      </left>
      <right/>
      <top/>
      <bottom style="slantDashDot">
        <color theme="1" tint="0.34998626667073579"/>
      </bottom>
      <diagonal/>
    </border>
    <border>
      <left/>
      <right/>
      <top/>
      <bottom style="slantDashDot">
        <color theme="1" tint="0.34998626667073579"/>
      </bottom>
      <diagonal/>
    </border>
    <border>
      <left style="slantDashDot">
        <color theme="1" tint="0.34998626667073579"/>
      </left>
      <right/>
      <top/>
      <bottom/>
      <diagonal/>
    </border>
    <border>
      <left/>
      <right style="slantDashDot">
        <color theme="1" tint="0.34998626667073579"/>
      </right>
      <top/>
      <bottom style="slantDashDot">
        <color theme="1" tint="0.34998626667073579"/>
      </bottom>
      <diagonal/>
    </border>
    <border>
      <left/>
      <right style="slantDashDot">
        <color theme="1" tint="0.34998626667073579"/>
      </right>
      <top style="thin">
        <color indexed="64"/>
      </top>
      <bottom style="thin">
        <color indexed="64"/>
      </bottom>
      <diagonal/>
    </border>
    <border>
      <left style="double">
        <color rgb="FF008000"/>
      </left>
      <right/>
      <top style="double">
        <color rgb="FF008000"/>
      </top>
      <bottom/>
      <diagonal/>
    </border>
    <border>
      <left/>
      <right/>
      <top style="double">
        <color rgb="FF008000"/>
      </top>
      <bottom/>
      <diagonal/>
    </border>
    <border>
      <left/>
      <right style="double">
        <color rgb="FF008000"/>
      </right>
      <top style="double">
        <color rgb="FF008000"/>
      </top>
      <bottom/>
      <diagonal/>
    </border>
    <border>
      <left style="double">
        <color rgb="FF008000"/>
      </left>
      <right/>
      <top/>
      <bottom/>
      <diagonal/>
    </border>
    <border>
      <left/>
      <right style="double">
        <color rgb="FF008000"/>
      </right>
      <top/>
      <bottom/>
      <diagonal/>
    </border>
    <border>
      <left style="double">
        <color rgb="FF008000"/>
      </left>
      <right/>
      <top/>
      <bottom style="double">
        <color rgb="FF008000"/>
      </bottom>
      <diagonal/>
    </border>
    <border>
      <left/>
      <right/>
      <top/>
      <bottom style="double">
        <color rgb="FF008000"/>
      </bottom>
      <diagonal/>
    </border>
    <border>
      <left/>
      <right style="double">
        <color rgb="FF008000"/>
      </right>
      <top/>
      <bottom style="double">
        <color rgb="FF008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5">
    <xf numFmtId="37" fontId="0" fillId="0" borderId="0"/>
    <xf numFmtId="0" fontId="13" fillId="0" borderId="0"/>
    <xf numFmtId="37" fontId="33" fillId="0" borderId="0" applyNumberFormat="0" applyFill="0" applyBorder="0" applyAlignment="0" applyProtection="0"/>
    <xf numFmtId="9" fontId="35" fillId="0" borderId="0" applyFont="0" applyFill="0" applyBorder="0" applyAlignment="0" applyProtection="0"/>
    <xf numFmtId="44" fontId="35" fillId="0" borderId="0" applyFont="0" applyFill="0" applyBorder="0" applyAlignment="0" applyProtection="0"/>
  </cellStyleXfs>
  <cellXfs count="304">
    <xf numFmtId="37" fontId="0" fillId="0" borderId="0" xfId="0"/>
    <xf numFmtId="37" fontId="1" fillId="0" borderId="1" xfId="0" applyFont="1" applyBorder="1" applyAlignment="1" applyProtection="1">
      <alignment horizontal="left"/>
      <protection locked="0"/>
    </xf>
    <xf numFmtId="14" fontId="0" fillId="0" borderId="2" xfId="0" applyNumberFormat="1" applyBorder="1" applyProtection="1">
      <protection locked="0"/>
    </xf>
    <xf numFmtId="37" fontId="0" fillId="0" borderId="3" xfId="0" applyBorder="1" applyProtection="1">
      <protection locked="0"/>
    </xf>
    <xf numFmtId="37" fontId="2" fillId="0" borderId="0" xfId="0" applyFont="1" applyProtection="1">
      <protection locked="0" hidden="1"/>
    </xf>
    <xf numFmtId="37" fontId="0" fillId="0" borderId="0" xfId="0" applyProtection="1">
      <protection locked="0" hidden="1"/>
    </xf>
    <xf numFmtId="37" fontId="0" fillId="0" borderId="0" xfId="0" applyProtection="1">
      <protection locked="0"/>
    </xf>
    <xf numFmtId="37" fontId="1" fillId="0" borderId="1" xfId="0" applyFont="1" applyBorder="1" applyProtection="1">
      <protection locked="0"/>
    </xf>
    <xf numFmtId="37" fontId="3" fillId="0" borderId="2" xfId="0" applyFont="1" applyBorder="1" applyProtection="1">
      <protection locked="0"/>
    </xf>
    <xf numFmtId="37" fontId="1" fillId="0" borderId="3" xfId="0" applyFont="1" applyBorder="1" applyProtection="1">
      <protection locked="0"/>
    </xf>
    <xf numFmtId="37" fontId="4" fillId="0" borderId="1" xfId="0" quotePrefix="1" applyFont="1" applyBorder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37" fontId="0" fillId="0" borderId="14" xfId="0" applyBorder="1" applyProtection="1">
      <protection locked="0"/>
    </xf>
    <xf numFmtId="164" fontId="4" fillId="0" borderId="15" xfId="0" applyNumberFormat="1" applyFont="1" applyBorder="1" applyAlignment="1" applyProtection="1">
      <alignment horizontal="center"/>
      <protection locked="0"/>
    </xf>
    <xf numFmtId="37" fontId="5" fillId="0" borderId="16" xfId="0" applyFont="1" applyBorder="1" applyAlignment="1" applyProtection="1">
      <alignment horizontal="center"/>
      <protection locked="0"/>
    </xf>
    <xf numFmtId="37" fontId="0" fillId="0" borderId="4" xfId="0" applyBorder="1" applyProtection="1">
      <protection locked="0"/>
    </xf>
    <xf numFmtId="37" fontId="0" fillId="0" borderId="1" xfId="0" applyBorder="1" applyProtection="1">
      <protection locked="0"/>
    </xf>
    <xf numFmtId="37" fontId="0" fillId="2" borderId="1" xfId="0" applyFill="1" applyBorder="1" applyAlignment="1" applyProtection="1">
      <alignment horizontal="right"/>
      <protection locked="0"/>
    </xf>
    <xf numFmtId="39" fontId="0" fillId="2" borderId="2" xfId="0" applyNumberFormat="1" applyFill="1" applyBorder="1" applyAlignment="1">
      <alignment horizontal="center"/>
    </xf>
    <xf numFmtId="37" fontId="15" fillId="0" borderId="0" xfId="0" applyFont="1" applyProtection="1">
      <protection locked="0" hidden="1"/>
    </xf>
    <xf numFmtId="37" fontId="1" fillId="0" borderId="4" xfId="0" applyFont="1" applyBorder="1" applyProtection="1">
      <protection locked="0"/>
    </xf>
    <xf numFmtId="37" fontId="1" fillId="0" borderId="1" xfId="0" applyFont="1" applyBorder="1" applyAlignment="1" applyProtection="1">
      <alignment horizontal="left" wrapText="1"/>
      <protection locked="0"/>
    </xf>
    <xf numFmtId="37" fontId="6" fillId="0" borderId="1" xfId="0" applyFont="1" applyBorder="1" applyAlignment="1" applyProtection="1">
      <alignment horizontal="center" wrapText="1"/>
      <protection locked="0"/>
    </xf>
    <xf numFmtId="37" fontId="5" fillId="0" borderId="0" xfId="0" applyFont="1" applyAlignment="1" applyProtection="1">
      <alignment horizontal="center"/>
      <protection locked="0" hidden="1"/>
    </xf>
    <xf numFmtId="37" fontId="8" fillId="0" borderId="1" xfId="0" applyFont="1" applyBorder="1" applyProtection="1">
      <protection locked="0"/>
    </xf>
    <xf numFmtId="37" fontId="8" fillId="0" borderId="0" xfId="0" applyFont="1" applyProtection="1">
      <protection locked="0" hidden="1"/>
    </xf>
    <xf numFmtId="39" fontId="4" fillId="3" borderId="1" xfId="0" applyNumberFormat="1" applyFont="1" applyFill="1" applyBorder="1" applyProtection="1">
      <protection locked="0"/>
    </xf>
    <xf numFmtId="165" fontId="4" fillId="3" borderId="1" xfId="0" applyNumberFormat="1" applyFont="1" applyFill="1" applyBorder="1" applyProtection="1">
      <protection locked="0"/>
    </xf>
    <xf numFmtId="37" fontId="0" fillId="0" borderId="1" xfId="0" applyBorder="1" applyAlignment="1" applyProtection="1">
      <alignment horizontal="right"/>
      <protection locked="0"/>
    </xf>
    <xf numFmtId="37" fontId="0" fillId="0" borderId="17" xfId="0" applyBorder="1" applyProtection="1">
      <protection locked="0"/>
    </xf>
    <xf numFmtId="37" fontId="0" fillId="0" borderId="17" xfId="0" applyBorder="1" applyAlignment="1" applyProtection="1">
      <alignment horizontal="right"/>
      <protection locked="0"/>
    </xf>
    <xf numFmtId="37" fontId="0" fillId="0" borderId="18" xfId="0" applyBorder="1" applyProtection="1">
      <protection locked="0"/>
    </xf>
    <xf numFmtId="39" fontId="0" fillId="0" borderId="19" xfId="0" applyNumberFormat="1" applyBorder="1" applyProtection="1">
      <protection locked="0"/>
    </xf>
    <xf numFmtId="165" fontId="0" fillId="0" borderId="20" xfId="0" applyNumberFormat="1" applyBorder="1" applyProtection="1">
      <protection locked="0"/>
    </xf>
    <xf numFmtId="37" fontId="0" fillId="0" borderId="21" xfId="0" applyBorder="1" applyProtection="1">
      <protection locked="0"/>
    </xf>
    <xf numFmtId="165" fontId="0" fillId="0" borderId="2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37" fontId="5" fillId="0" borderId="0" xfId="0" applyFont="1" applyProtection="1">
      <protection locked="0" hidden="1"/>
    </xf>
    <xf numFmtId="37" fontId="4" fillId="0" borderId="22" xfId="0" applyFont="1" applyBorder="1" applyProtection="1">
      <protection locked="0"/>
    </xf>
    <xf numFmtId="39" fontId="0" fillId="0" borderId="22" xfId="0" applyNumberFormat="1" applyBorder="1" applyProtection="1">
      <protection locked="0"/>
    </xf>
    <xf numFmtId="165" fontId="0" fillId="0" borderId="22" xfId="0" applyNumberFormat="1" applyBorder="1" applyProtection="1">
      <protection locked="0"/>
    </xf>
    <xf numFmtId="37" fontId="4" fillId="0" borderId="4" xfId="0" applyFon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39" fontId="0" fillId="0" borderId="1" xfId="0" applyNumberFormat="1" applyBorder="1"/>
    <xf numFmtId="37" fontId="0" fillId="0" borderId="1" xfId="0" applyBorder="1" applyAlignment="1" applyProtection="1">
      <alignment horizontal="left"/>
      <protection locked="0"/>
    </xf>
    <xf numFmtId="37" fontId="9" fillId="0" borderId="0" xfId="0" applyFont="1" applyProtection="1">
      <protection locked="0" hidden="1"/>
    </xf>
    <xf numFmtId="37" fontId="16" fillId="0" borderId="0" xfId="0" applyFont="1" applyProtection="1">
      <protection locked="0" hidden="1"/>
    </xf>
    <xf numFmtId="37" fontId="2" fillId="0" borderId="0" xfId="0" applyFont="1" applyProtection="1">
      <protection locked="0"/>
    </xf>
    <xf numFmtId="37" fontId="0" fillId="0" borderId="2" xfId="0" applyBorder="1"/>
    <xf numFmtId="37" fontId="0" fillId="0" borderId="5" xfId="0" applyBorder="1" applyProtection="1">
      <protection locked="0"/>
    </xf>
    <xf numFmtId="37" fontId="10" fillId="0" borderId="1" xfId="0" applyFont="1" applyBorder="1" applyProtection="1">
      <protection locked="0"/>
    </xf>
    <xf numFmtId="37" fontId="4" fillId="0" borderId="5" xfId="0" applyFont="1" applyBorder="1" applyAlignment="1" applyProtection="1">
      <alignment horizontal="left"/>
      <protection locked="0"/>
    </xf>
    <xf numFmtId="37" fontId="17" fillId="0" borderId="6" xfId="0" applyFont="1" applyBorder="1" applyProtection="1">
      <protection locked="0"/>
    </xf>
    <xf numFmtId="37" fontId="17" fillId="0" borderId="0" xfId="0" applyFont="1" applyProtection="1">
      <protection locked="0"/>
    </xf>
    <xf numFmtId="37" fontId="17" fillId="0" borderId="7" xfId="0" applyFont="1" applyBorder="1" applyProtection="1">
      <protection locked="0"/>
    </xf>
    <xf numFmtId="37" fontId="17" fillId="0" borderId="8" xfId="0" applyFont="1" applyBorder="1" applyProtection="1">
      <protection locked="0"/>
    </xf>
    <xf numFmtId="37" fontId="17" fillId="0" borderId="9" xfId="0" applyFont="1" applyBorder="1" applyProtection="1">
      <protection locked="0"/>
    </xf>
    <xf numFmtId="37" fontId="17" fillId="0" borderId="8" xfId="0" quotePrefix="1" applyFont="1" applyBorder="1" applyAlignment="1" applyProtection="1">
      <alignment horizontal="left"/>
      <protection locked="0"/>
    </xf>
    <xf numFmtId="37" fontId="17" fillId="0" borderId="8" xfId="0" applyFont="1" applyBorder="1" applyAlignment="1" applyProtection="1">
      <alignment horizontal="left"/>
      <protection locked="0"/>
    </xf>
    <xf numFmtId="37" fontId="0" fillId="0" borderId="9" xfId="0" applyBorder="1" applyProtection="1">
      <protection locked="0"/>
    </xf>
    <xf numFmtId="37" fontId="0" fillId="0" borderId="10" xfId="0" applyBorder="1" applyProtection="1">
      <protection locked="0"/>
    </xf>
    <xf numFmtId="37" fontId="0" fillId="0" borderId="11" xfId="0" applyBorder="1" applyProtection="1">
      <protection locked="0"/>
    </xf>
    <xf numFmtId="37" fontId="0" fillId="0" borderId="12" xfId="0" applyBorder="1" applyProtection="1">
      <protection locked="0"/>
    </xf>
    <xf numFmtId="37" fontId="0" fillId="0" borderId="2" xfId="0" applyBorder="1" applyProtection="1">
      <protection locked="0"/>
    </xf>
    <xf numFmtId="39" fontId="0" fillId="0" borderId="4" xfId="0" applyNumberFormat="1" applyBorder="1" applyProtection="1">
      <protection locked="0"/>
    </xf>
    <xf numFmtId="39" fontId="0" fillId="0" borderId="1" xfId="0" applyNumberFormat="1" applyBorder="1" applyProtection="1">
      <protection locked="0"/>
    </xf>
    <xf numFmtId="39" fontId="0" fillId="0" borderId="0" xfId="0" applyNumberFormat="1"/>
    <xf numFmtId="39" fontId="0" fillId="0" borderId="5" xfId="0" applyNumberFormat="1" applyBorder="1"/>
    <xf numFmtId="39" fontId="0" fillId="0" borderId="2" xfId="0" applyNumberFormat="1" applyBorder="1"/>
    <xf numFmtId="37" fontId="12" fillId="0" borderId="1" xfId="0" applyFont="1" applyBorder="1" applyProtection="1">
      <protection locked="0"/>
    </xf>
    <xf numFmtId="37" fontId="17" fillId="0" borderId="13" xfId="0" applyFont="1" applyBorder="1" applyProtection="1">
      <protection locked="0"/>
    </xf>
    <xf numFmtId="37" fontId="2" fillId="0" borderId="1" xfId="0" applyFont="1" applyBorder="1" applyProtection="1">
      <protection locked="0"/>
    </xf>
    <xf numFmtId="37" fontId="2" fillId="0" borderId="5" xfId="0" applyFont="1" applyBorder="1" applyProtection="1">
      <protection locked="0"/>
    </xf>
    <xf numFmtId="37" fontId="14" fillId="0" borderId="0" xfId="0" applyFont="1"/>
    <xf numFmtId="37" fontId="14" fillId="0" borderId="0" xfId="0" applyFont="1" applyProtection="1">
      <protection locked="0"/>
    </xf>
    <xf numFmtId="37" fontId="14" fillId="0" borderId="0" xfId="0" applyFont="1" applyProtection="1">
      <protection locked="0" hidden="1"/>
    </xf>
    <xf numFmtId="39" fontId="0" fillId="0" borderId="0" xfId="0" applyNumberFormat="1" applyProtection="1">
      <protection locked="0"/>
    </xf>
    <xf numFmtId="39" fontId="14" fillId="0" borderId="0" xfId="0" applyNumberFormat="1" applyFont="1" applyProtection="1">
      <protection locked="0"/>
    </xf>
    <xf numFmtId="37" fontId="21" fillId="0" borderId="0" xfId="0" applyFont="1"/>
    <xf numFmtId="37" fontId="19" fillId="8" borderId="23" xfId="0" applyFont="1" applyFill="1" applyBorder="1"/>
    <xf numFmtId="37" fontId="19" fillId="8" borderId="24" xfId="0" applyFont="1" applyFill="1" applyBorder="1"/>
    <xf numFmtId="37" fontId="19" fillId="8" borderId="25" xfId="0" applyFont="1" applyFill="1" applyBorder="1"/>
    <xf numFmtId="37" fontId="19" fillId="6" borderId="26" xfId="0" applyFont="1" applyFill="1" applyBorder="1"/>
    <xf numFmtId="37" fontId="19" fillId="6" borderId="0" xfId="0" applyFont="1" applyFill="1"/>
    <xf numFmtId="37" fontId="19" fillId="6" borderId="27" xfId="0" applyFont="1" applyFill="1" applyBorder="1"/>
    <xf numFmtId="37" fontId="19" fillId="5" borderId="26" xfId="0" applyFont="1" applyFill="1" applyBorder="1"/>
    <xf numFmtId="37" fontId="19" fillId="5" borderId="0" xfId="0" applyFont="1" applyFill="1"/>
    <xf numFmtId="37" fontId="19" fillId="5" borderId="27" xfId="0" applyFont="1" applyFill="1" applyBorder="1"/>
    <xf numFmtId="37" fontId="19" fillId="11" borderId="26" xfId="0" applyFont="1" applyFill="1" applyBorder="1"/>
    <xf numFmtId="37" fontId="19" fillId="11" borderId="0" xfId="0" applyFont="1" applyFill="1"/>
    <xf numFmtId="37" fontId="19" fillId="11" borderId="27" xfId="0" applyFont="1" applyFill="1" applyBorder="1"/>
    <xf numFmtId="37" fontId="19" fillId="12" borderId="28" xfId="0" applyFont="1" applyFill="1" applyBorder="1"/>
    <xf numFmtId="37" fontId="19" fillId="12" borderId="29" xfId="0" applyFont="1" applyFill="1" applyBorder="1"/>
    <xf numFmtId="37" fontId="19" fillId="12" borderId="30" xfId="0" applyFont="1" applyFill="1" applyBorder="1"/>
    <xf numFmtId="37" fontId="0" fillId="0" borderId="0" xfId="0" applyAlignment="1">
      <alignment horizontal="center"/>
    </xf>
    <xf numFmtId="37" fontId="22" fillId="9" borderId="31" xfId="0" applyFont="1" applyFill="1" applyBorder="1" applyProtection="1">
      <protection locked="0"/>
    </xf>
    <xf numFmtId="37" fontId="19" fillId="9" borderId="33" xfId="0" applyFont="1" applyFill="1" applyBorder="1" applyProtection="1">
      <protection locked="0"/>
    </xf>
    <xf numFmtId="37" fontId="0" fillId="6" borderId="35" xfId="0" applyFill="1" applyBorder="1" applyAlignment="1">
      <alignment horizontal="center"/>
    </xf>
    <xf numFmtId="37" fontId="20" fillId="6" borderId="36" xfId="0" applyFont="1" applyFill="1" applyBorder="1" applyAlignment="1">
      <alignment horizontal="center"/>
    </xf>
    <xf numFmtId="37" fontId="20" fillId="6" borderId="37" xfId="0" applyFont="1" applyFill="1" applyBorder="1" applyAlignment="1">
      <alignment horizontal="center"/>
    </xf>
    <xf numFmtId="37" fontId="22" fillId="8" borderId="38" xfId="0" applyFont="1" applyFill="1" applyBorder="1"/>
    <xf numFmtId="37" fontId="0" fillId="8" borderId="39" xfId="0" applyFill="1" applyBorder="1"/>
    <xf numFmtId="37" fontId="22" fillId="8" borderId="40" xfId="0" applyFont="1" applyFill="1" applyBorder="1"/>
    <xf numFmtId="37" fontId="0" fillId="8" borderId="41" xfId="0" applyFill="1" applyBorder="1"/>
    <xf numFmtId="37" fontId="22" fillId="8" borderId="42" xfId="0" applyFont="1" applyFill="1" applyBorder="1"/>
    <xf numFmtId="37" fontId="0" fillId="8" borderId="43" xfId="0" applyFill="1" applyBorder="1"/>
    <xf numFmtId="37" fontId="22" fillId="4" borderId="44" xfId="0" applyFont="1" applyFill="1" applyBorder="1"/>
    <xf numFmtId="37" fontId="0" fillId="4" borderId="45" xfId="0" applyFill="1" applyBorder="1"/>
    <xf numFmtId="37" fontId="0" fillId="4" borderId="46" xfId="0" applyFill="1" applyBorder="1"/>
    <xf numFmtId="37" fontId="22" fillId="4" borderId="40" xfId="0" applyFont="1" applyFill="1" applyBorder="1"/>
    <xf numFmtId="37" fontId="0" fillId="4" borderId="0" xfId="0" applyFill="1"/>
    <xf numFmtId="37" fontId="0" fillId="4" borderId="47" xfId="0" applyFill="1" applyBorder="1"/>
    <xf numFmtId="37" fontId="22" fillId="4" borderId="48" xfId="0" applyFont="1" applyFill="1" applyBorder="1"/>
    <xf numFmtId="37" fontId="0" fillId="4" borderId="49" xfId="0" applyFill="1" applyBorder="1"/>
    <xf numFmtId="37" fontId="0" fillId="4" borderId="50" xfId="0" applyFill="1" applyBorder="1"/>
    <xf numFmtId="37" fontId="19" fillId="14" borderId="26" xfId="0" applyFont="1" applyFill="1" applyBorder="1"/>
    <xf numFmtId="37" fontId="19" fillId="14" borderId="0" xfId="0" applyFont="1" applyFill="1"/>
    <xf numFmtId="37" fontId="19" fillId="14" borderId="27" xfId="0" applyFont="1" applyFill="1" applyBorder="1"/>
    <xf numFmtId="37" fontId="1" fillId="0" borderId="0" xfId="0" applyFont="1"/>
    <xf numFmtId="37" fontId="19" fillId="0" borderId="0" xfId="0" applyFont="1"/>
    <xf numFmtId="37" fontId="19" fillId="9" borderId="32" xfId="0" applyFont="1" applyFill="1" applyBorder="1"/>
    <xf numFmtId="37" fontId="19" fillId="9" borderId="34" xfId="0" applyFont="1" applyFill="1" applyBorder="1"/>
    <xf numFmtId="39" fontId="10" fillId="0" borderId="1" xfId="0" applyNumberFormat="1" applyFont="1" applyBorder="1" applyAlignment="1">
      <alignment horizontal="right"/>
    </xf>
    <xf numFmtId="39" fontId="25" fillId="0" borderId="2" xfId="0" applyNumberFormat="1" applyFont="1" applyBorder="1" applyAlignment="1">
      <alignment horizontal="right"/>
    </xf>
    <xf numFmtId="39" fontId="26" fillId="0" borderId="1" xfId="0" applyNumberFormat="1" applyFont="1" applyBorder="1" applyAlignment="1">
      <alignment horizontal="right" wrapText="1"/>
    </xf>
    <xf numFmtId="37" fontId="0" fillId="0" borderId="1" xfId="0" applyBorder="1"/>
    <xf numFmtId="39" fontId="1" fillId="0" borderId="1" xfId="0" applyNumberFormat="1" applyFont="1" applyBorder="1"/>
    <xf numFmtId="39" fontId="0" fillId="0" borderId="1" xfId="0" applyNumberFormat="1" applyBorder="1" applyAlignment="1">
      <alignment horizontal="right"/>
    </xf>
    <xf numFmtId="39" fontId="27" fillId="0" borderId="2" xfId="0" applyNumberFormat="1" applyFont="1" applyBorder="1" applyAlignment="1">
      <alignment horizontal="center"/>
    </xf>
    <xf numFmtId="37" fontId="19" fillId="0" borderId="58" xfId="0" applyFont="1" applyBorder="1"/>
    <xf numFmtId="37" fontId="19" fillId="0" borderId="59" xfId="0" applyFont="1" applyBorder="1"/>
    <xf numFmtId="37" fontId="0" fillId="0" borderId="60" xfId="0" applyBorder="1"/>
    <xf numFmtId="37" fontId="19" fillId="0" borderId="61" xfId="0" applyFont="1" applyBorder="1"/>
    <xf numFmtId="37" fontId="0" fillId="0" borderId="62" xfId="0" applyBorder="1"/>
    <xf numFmtId="37" fontId="19" fillId="0" borderId="62" xfId="0" applyFont="1" applyBorder="1"/>
    <xf numFmtId="37" fontId="19" fillId="0" borderId="63" xfId="0" applyFont="1" applyBorder="1"/>
    <xf numFmtId="37" fontId="19" fillId="0" borderId="64" xfId="0" applyFont="1" applyBorder="1"/>
    <xf numFmtId="37" fontId="19" fillId="0" borderId="65" xfId="0" applyFont="1" applyBorder="1"/>
    <xf numFmtId="37" fontId="28" fillId="12" borderId="61" xfId="0" applyFont="1" applyFill="1" applyBorder="1"/>
    <xf numFmtId="37" fontId="28" fillId="12" borderId="0" xfId="0" applyFont="1" applyFill="1"/>
    <xf numFmtId="37" fontId="29" fillId="0" borderId="61" xfId="0" applyFont="1" applyBorder="1"/>
    <xf numFmtId="37" fontId="0" fillId="18" borderId="0" xfId="0" applyFill="1"/>
    <xf numFmtId="37" fontId="1" fillId="18" borderId="0" xfId="0" applyFont="1" applyFill="1" applyAlignment="1">
      <alignment wrapText="1"/>
    </xf>
    <xf numFmtId="37" fontId="1" fillId="18" borderId="0" xfId="0" applyFont="1" applyFill="1"/>
    <xf numFmtId="37" fontId="0" fillId="18" borderId="0" xfId="0" applyFill="1" applyAlignment="1">
      <alignment horizontal="center"/>
    </xf>
    <xf numFmtId="37" fontId="0" fillId="18" borderId="0" xfId="0" applyFill="1" applyAlignment="1">
      <alignment horizontal="left"/>
    </xf>
    <xf numFmtId="37" fontId="1" fillId="18" borderId="0" xfId="0" applyFont="1" applyFill="1" applyAlignment="1">
      <alignment horizontal="right"/>
    </xf>
    <xf numFmtId="37" fontId="0" fillId="19" borderId="0" xfId="0" applyFill="1"/>
    <xf numFmtId="37" fontId="34" fillId="0" borderId="0" xfId="0" applyFont="1"/>
    <xf numFmtId="37" fontId="19" fillId="9" borderId="32" xfId="0" applyFont="1" applyFill="1" applyBorder="1" applyProtection="1">
      <protection locked="0"/>
    </xf>
    <xf numFmtId="37" fontId="22" fillId="9" borderId="32" xfId="0" applyFont="1" applyFill="1" applyBorder="1" applyProtection="1">
      <protection locked="0"/>
    </xf>
    <xf numFmtId="39" fontId="14" fillId="0" borderId="0" xfId="0" applyNumberFormat="1" applyFont="1" applyProtection="1">
      <protection locked="0" hidden="1"/>
    </xf>
    <xf numFmtId="37" fontId="44" fillId="0" borderId="0" xfId="0" applyFont="1" applyProtection="1">
      <protection locked="0"/>
    </xf>
    <xf numFmtId="37" fontId="21" fillId="2" borderId="0" xfId="0" applyFont="1" applyFill="1" applyProtection="1">
      <protection locked="0"/>
    </xf>
    <xf numFmtId="37" fontId="21" fillId="0" borderId="0" xfId="0" applyFont="1" applyProtection="1">
      <protection locked="0"/>
    </xf>
    <xf numFmtId="37" fontId="21" fillId="17" borderId="0" xfId="0" applyFont="1" applyFill="1" applyProtection="1">
      <protection locked="0"/>
    </xf>
    <xf numFmtId="9" fontId="28" fillId="5" borderId="0" xfId="3" applyFont="1" applyFill="1" applyBorder="1" applyAlignment="1" applyProtection="1">
      <alignment vertical="top"/>
      <protection locked="0"/>
    </xf>
    <xf numFmtId="37" fontId="21" fillId="5" borderId="0" xfId="0" applyFont="1" applyFill="1" applyProtection="1">
      <protection locked="0"/>
    </xf>
    <xf numFmtId="166" fontId="21" fillId="10" borderId="56" xfId="0" applyNumberFormat="1" applyFont="1" applyFill="1" applyBorder="1" applyAlignment="1" applyProtection="1">
      <alignment horizontal="left"/>
      <protection locked="0"/>
    </xf>
    <xf numFmtId="37" fontId="21" fillId="0" borderId="0" xfId="0" applyFont="1" applyProtection="1">
      <protection hidden="1"/>
    </xf>
    <xf numFmtId="37" fontId="1" fillId="15" borderId="51" xfId="0" applyFont="1" applyFill="1" applyBorder="1" applyAlignment="1" applyProtection="1">
      <alignment horizontal="center"/>
      <protection hidden="1"/>
    </xf>
    <xf numFmtId="37" fontId="1" fillId="15" borderId="52" xfId="0" applyFont="1" applyFill="1" applyBorder="1" applyAlignment="1" applyProtection="1">
      <alignment horizontal="left"/>
      <protection hidden="1"/>
    </xf>
    <xf numFmtId="39" fontId="40" fillId="21" borderId="68" xfId="0" applyNumberFormat="1" applyFont="1" applyFill="1" applyBorder="1" applyAlignment="1" applyProtection="1">
      <alignment horizontal="right"/>
      <protection hidden="1"/>
    </xf>
    <xf numFmtId="9" fontId="41" fillId="22" borderId="71" xfId="0" applyNumberFormat="1" applyFont="1" applyFill="1" applyBorder="1" applyAlignment="1" applyProtection="1">
      <alignment horizontal="center"/>
      <protection hidden="1"/>
    </xf>
    <xf numFmtId="37" fontId="0" fillId="20" borderId="41" xfId="0" applyFill="1" applyBorder="1" applyProtection="1">
      <protection hidden="1"/>
    </xf>
    <xf numFmtId="37" fontId="10" fillId="15" borderId="54" xfId="0" applyFont="1" applyFill="1" applyBorder="1" applyProtection="1">
      <protection hidden="1"/>
    </xf>
    <xf numFmtId="39" fontId="10" fillId="15" borderId="69" xfId="0" applyNumberFormat="1" applyFont="1" applyFill="1" applyBorder="1" applyAlignment="1" applyProtection="1">
      <alignment horizontal="right"/>
      <protection hidden="1"/>
    </xf>
    <xf numFmtId="39" fontId="10" fillId="15" borderId="72" xfId="0" applyNumberFormat="1" applyFont="1" applyFill="1" applyBorder="1" applyAlignment="1" applyProtection="1">
      <alignment horizontal="right"/>
      <protection hidden="1"/>
    </xf>
    <xf numFmtId="37" fontId="43" fillId="20" borderId="41" xfId="0" applyFont="1" applyFill="1" applyBorder="1" applyAlignment="1" applyProtection="1">
      <alignment horizontal="center" vertical="center" wrapText="1"/>
      <protection hidden="1"/>
    </xf>
    <xf numFmtId="37" fontId="39" fillId="15" borderId="73" xfId="0" applyFont="1" applyFill="1" applyBorder="1" applyProtection="1">
      <protection hidden="1"/>
    </xf>
    <xf numFmtId="37" fontId="39" fillId="15" borderId="0" xfId="0" applyFont="1" applyFill="1" applyProtection="1">
      <protection hidden="1"/>
    </xf>
    <xf numFmtId="37" fontId="39" fillId="15" borderId="41" xfId="0" applyFont="1" applyFill="1" applyBorder="1" applyProtection="1">
      <protection hidden="1"/>
    </xf>
    <xf numFmtId="37" fontId="30" fillId="20" borderId="41" xfId="0" applyFont="1" applyFill="1" applyBorder="1" applyAlignment="1" applyProtection="1">
      <alignment vertical="center" wrapText="1"/>
      <protection hidden="1"/>
    </xf>
    <xf numFmtId="37" fontId="10" fillId="15" borderId="54" xfId="0" applyFont="1" applyFill="1" applyBorder="1" applyAlignment="1" applyProtection="1">
      <alignment horizontal="left"/>
      <protection hidden="1"/>
    </xf>
    <xf numFmtId="39" fontId="10" fillId="15" borderId="74" xfId="0" applyNumberFormat="1" applyFont="1" applyFill="1" applyBorder="1" applyAlignment="1" applyProtection="1">
      <alignment horizontal="right"/>
      <protection hidden="1"/>
    </xf>
    <xf numFmtId="37" fontId="23" fillId="0" borderId="0" xfId="0" applyFont="1" applyAlignment="1" applyProtection="1">
      <alignment horizontal="right"/>
      <protection hidden="1"/>
    </xf>
    <xf numFmtId="39" fontId="38" fillId="15" borderId="74" xfId="0" applyNumberFormat="1" applyFont="1" applyFill="1" applyBorder="1" applyAlignment="1" applyProtection="1">
      <alignment horizontal="right"/>
      <protection hidden="1"/>
    </xf>
    <xf numFmtId="37" fontId="0" fillId="15" borderId="53" xfId="0" applyFill="1" applyBorder="1" applyAlignment="1" applyProtection="1">
      <alignment horizontal="center"/>
      <protection hidden="1"/>
    </xf>
    <xf numFmtId="37" fontId="12" fillId="4" borderId="54" xfId="0" applyFont="1" applyFill="1" applyBorder="1" applyProtection="1">
      <protection hidden="1"/>
    </xf>
    <xf numFmtId="39" fontId="12" fillId="4" borderId="69" xfId="0" applyNumberFormat="1" applyFont="1" applyFill="1" applyBorder="1" applyProtection="1">
      <protection hidden="1"/>
    </xf>
    <xf numFmtId="39" fontId="12" fillId="4" borderId="41" xfId="0" applyNumberFormat="1" applyFont="1" applyFill="1" applyBorder="1" applyAlignment="1" applyProtection="1">
      <alignment horizontal="right"/>
      <protection hidden="1"/>
    </xf>
    <xf numFmtId="37" fontId="0" fillId="15" borderId="54" xfId="0" applyFill="1" applyBorder="1" applyProtection="1">
      <protection hidden="1"/>
    </xf>
    <xf numFmtId="39" fontId="10" fillId="15" borderId="70" xfId="0" applyNumberFormat="1" applyFont="1" applyFill="1" applyBorder="1" applyAlignment="1" applyProtection="1">
      <alignment horizontal="right"/>
      <protection hidden="1"/>
    </xf>
    <xf numFmtId="37" fontId="0" fillId="15" borderId="55" xfId="0" applyFill="1" applyBorder="1" applyProtection="1">
      <protection hidden="1"/>
    </xf>
    <xf numFmtId="37" fontId="12" fillId="4" borderId="57" xfId="0" applyFont="1" applyFill="1" applyBorder="1" applyProtection="1">
      <protection hidden="1"/>
    </xf>
    <xf numFmtId="39" fontId="12" fillId="4" borderId="57" xfId="0" applyNumberFormat="1" applyFont="1" applyFill="1" applyBorder="1" applyAlignment="1" applyProtection="1">
      <alignment horizontal="right"/>
      <protection hidden="1"/>
    </xf>
    <xf numFmtId="39" fontId="12" fillId="4" borderId="75" xfId="0" applyNumberFormat="1" applyFont="1" applyFill="1" applyBorder="1" applyAlignment="1" applyProtection="1">
      <alignment horizontal="right"/>
      <protection hidden="1"/>
    </xf>
    <xf numFmtId="37" fontId="32" fillId="0" borderId="0" xfId="0" applyFont="1"/>
    <xf numFmtId="37" fontId="45" fillId="0" borderId="0" xfId="2" applyFont="1"/>
    <xf numFmtId="37" fontId="46" fillId="0" borderId="0" xfId="0" applyFont="1"/>
    <xf numFmtId="37" fontId="47" fillId="17" borderId="0" xfId="0" applyFont="1" applyFill="1" applyAlignment="1" applyProtection="1">
      <alignment wrapText="1"/>
      <protection locked="0"/>
    </xf>
    <xf numFmtId="37" fontId="19" fillId="9" borderId="32" xfId="0" applyFont="1" applyFill="1" applyBorder="1" applyAlignment="1">
      <alignment horizontal="left" vertical="top" wrapText="1"/>
    </xf>
    <xf numFmtId="37" fontId="40" fillId="0" borderId="0" xfId="0" applyFont="1"/>
    <xf numFmtId="37" fontId="40" fillId="0" borderId="0" xfId="0" applyFont="1" applyAlignment="1">
      <alignment horizontal="center"/>
    </xf>
    <xf numFmtId="37" fontId="22" fillId="0" borderId="0" xfId="0" applyFont="1" applyProtection="1">
      <protection locked="0"/>
    </xf>
    <xf numFmtId="37" fontId="19" fillId="0" borderId="0" xfId="0" applyFont="1" applyProtection="1">
      <protection locked="0"/>
    </xf>
    <xf numFmtId="39" fontId="10" fillId="25" borderId="69" xfId="0" applyNumberFormat="1" applyFont="1" applyFill="1" applyBorder="1" applyAlignment="1" applyProtection="1">
      <alignment horizontal="right"/>
      <protection hidden="1"/>
    </xf>
    <xf numFmtId="39" fontId="0" fillId="25" borderId="1" xfId="0" applyNumberFormat="1" applyFill="1" applyBorder="1"/>
    <xf numFmtId="39" fontId="0" fillId="25" borderId="1" xfId="0" applyNumberFormat="1" applyFill="1" applyBorder="1" applyAlignment="1">
      <alignment horizontal="right"/>
    </xf>
    <xf numFmtId="39" fontId="0" fillId="25" borderId="0" xfId="0" applyNumberFormat="1" applyFill="1"/>
    <xf numFmtId="39" fontId="21" fillId="0" borderId="0" xfId="0" applyNumberFormat="1" applyFont="1" applyProtection="1">
      <protection locked="0"/>
    </xf>
    <xf numFmtId="39" fontId="21" fillId="0" borderId="0" xfId="0" applyNumberFormat="1" applyFont="1" applyProtection="1">
      <protection hidden="1"/>
    </xf>
    <xf numFmtId="39" fontId="52" fillId="15" borderId="77" xfId="0" applyNumberFormat="1" applyFont="1" applyFill="1" applyBorder="1" applyProtection="1">
      <protection hidden="1"/>
    </xf>
    <xf numFmtId="37" fontId="21" fillId="15" borderId="78" xfId="0" applyFont="1" applyFill="1" applyBorder="1" applyProtection="1">
      <protection hidden="1"/>
    </xf>
    <xf numFmtId="37" fontId="12" fillId="15" borderId="79" xfId="0" applyFont="1" applyFill="1" applyBorder="1" applyProtection="1">
      <protection hidden="1"/>
    </xf>
    <xf numFmtId="39" fontId="52" fillId="15" borderId="79" xfId="0" applyNumberFormat="1" applyFont="1" applyFill="1" applyBorder="1" applyProtection="1">
      <protection hidden="1"/>
    </xf>
    <xf numFmtId="37" fontId="38" fillId="15" borderId="78" xfId="0" applyFont="1" applyFill="1" applyBorder="1" applyAlignment="1" applyProtection="1">
      <alignment horizontal="center"/>
      <protection hidden="1"/>
    </xf>
    <xf numFmtId="37" fontId="38" fillId="15" borderId="79" xfId="0" applyFont="1" applyFill="1" applyBorder="1" applyProtection="1">
      <protection hidden="1"/>
    </xf>
    <xf numFmtId="39" fontId="38" fillId="15" borderId="79" xfId="0" applyNumberFormat="1" applyFont="1" applyFill="1" applyBorder="1" applyAlignment="1" applyProtection="1">
      <alignment horizontal="right"/>
      <protection hidden="1"/>
    </xf>
    <xf numFmtId="10" fontId="41" fillId="22" borderId="85" xfId="0" applyNumberFormat="1" applyFont="1" applyFill="1" applyBorder="1" applyAlignment="1" applyProtection="1">
      <alignment horizontal="center" wrapText="1"/>
      <protection hidden="1"/>
    </xf>
    <xf numFmtId="37" fontId="37" fillId="20" borderId="41" xfId="0" applyFont="1" applyFill="1" applyBorder="1" applyProtection="1">
      <protection hidden="1"/>
    </xf>
    <xf numFmtId="5" fontId="53" fillId="22" borderId="82" xfId="4" applyNumberFormat="1" applyFont="1" applyFill="1" applyBorder="1" applyAlignment="1" applyProtection="1">
      <alignment horizontal="center" vertical="top"/>
    </xf>
    <xf numFmtId="9" fontId="28" fillId="22" borderId="80" xfId="3" applyFont="1" applyFill="1" applyBorder="1" applyAlignment="1" applyProtection="1">
      <alignment horizontal="center" vertical="center"/>
      <protection locked="0"/>
    </xf>
    <xf numFmtId="9" fontId="54" fillId="22" borderId="81" xfId="3" applyFont="1" applyFill="1" applyBorder="1" applyAlignment="1" applyProtection="1">
      <alignment vertical="top"/>
    </xf>
    <xf numFmtId="39" fontId="55" fillId="0" borderId="1" xfId="0" applyNumberFormat="1" applyFont="1" applyBorder="1" applyAlignment="1">
      <alignment horizontal="right"/>
    </xf>
    <xf numFmtId="37" fontId="56" fillId="0" borderId="0" xfId="0" applyFont="1" applyProtection="1">
      <protection locked="0" hidden="1"/>
    </xf>
    <xf numFmtId="39" fontId="32" fillId="0" borderId="1" xfId="0" applyNumberFormat="1" applyFont="1" applyBorder="1" applyAlignment="1">
      <alignment horizontal="right" wrapText="1"/>
    </xf>
    <xf numFmtId="37" fontId="57" fillId="24" borderId="0" xfId="0" applyFont="1" applyFill="1"/>
    <xf numFmtId="37" fontId="0" fillId="24" borderId="0" xfId="0" applyFill="1"/>
    <xf numFmtId="37" fontId="58" fillId="26" borderId="86" xfId="0" applyFont="1" applyFill="1" applyBorder="1" applyAlignment="1" applyProtection="1">
      <alignment wrapText="1"/>
      <protection locked="0"/>
    </xf>
    <xf numFmtId="37" fontId="58" fillId="26" borderId="88" xfId="0" applyFont="1" applyFill="1" applyBorder="1" applyProtection="1">
      <protection locked="0"/>
    </xf>
    <xf numFmtId="37" fontId="58" fillId="26" borderId="92" xfId="0" applyFont="1" applyFill="1" applyBorder="1" applyAlignment="1" applyProtection="1">
      <alignment wrapText="1"/>
      <protection locked="0"/>
    </xf>
    <xf numFmtId="37" fontId="58" fillId="26" borderId="0" xfId="0" applyFont="1" applyFill="1" applyProtection="1">
      <protection locked="0"/>
    </xf>
    <xf numFmtId="37" fontId="42" fillId="26" borderId="88" xfId="0" applyFont="1" applyFill="1" applyBorder="1" applyProtection="1">
      <protection locked="0"/>
    </xf>
    <xf numFmtId="37" fontId="42" fillId="26" borderId="0" xfId="0" applyFont="1" applyFill="1" applyProtection="1">
      <protection locked="0"/>
    </xf>
    <xf numFmtId="37" fontId="21" fillId="26" borderId="90" xfId="0" applyFont="1" applyFill="1" applyBorder="1" applyAlignment="1" applyProtection="1">
      <alignment horizontal="center"/>
      <protection locked="0"/>
    </xf>
    <xf numFmtId="37" fontId="59" fillId="26" borderId="87" xfId="0" applyFont="1" applyFill="1" applyBorder="1" applyProtection="1">
      <protection locked="0"/>
    </xf>
    <xf numFmtId="37" fontId="59" fillId="26" borderId="3" xfId="0" applyFont="1" applyFill="1" applyBorder="1" applyProtection="1">
      <protection locked="0"/>
    </xf>
    <xf numFmtId="0" fontId="59" fillId="26" borderId="89" xfId="0" applyNumberFormat="1" applyFont="1" applyFill="1" applyBorder="1" applyAlignment="1" applyProtection="1">
      <alignment horizontal="left"/>
      <protection locked="0"/>
    </xf>
    <xf numFmtId="49" fontId="59" fillId="26" borderId="94" xfId="0" applyNumberFormat="1" applyFont="1" applyFill="1" applyBorder="1" applyAlignment="1" applyProtection="1">
      <alignment horizontal="left"/>
      <protection locked="0"/>
    </xf>
    <xf numFmtId="37" fontId="41" fillId="22" borderId="0" xfId="0" applyFont="1" applyFill="1" applyAlignment="1">
      <alignment vertical="top" wrapText="1"/>
    </xf>
    <xf numFmtId="37" fontId="60" fillId="15" borderId="53" xfId="0" applyFont="1" applyFill="1" applyBorder="1" applyAlignment="1" applyProtection="1">
      <alignment horizontal="right"/>
      <protection hidden="1"/>
    </xf>
    <xf numFmtId="37" fontId="61" fillId="19" borderId="76" xfId="0" applyFont="1" applyFill="1" applyBorder="1" applyAlignment="1">
      <alignment wrapText="1"/>
    </xf>
    <xf numFmtId="37" fontId="24" fillId="24" borderId="0" xfId="0" applyFont="1" applyFill="1"/>
    <xf numFmtId="167" fontId="10" fillId="15" borderId="53" xfId="0" applyNumberFormat="1" applyFont="1" applyFill="1" applyBorder="1" applyAlignment="1" applyProtection="1">
      <alignment horizontal="center"/>
      <protection hidden="1"/>
    </xf>
    <xf numFmtId="37" fontId="21" fillId="5" borderId="0" xfId="0" applyFont="1" applyFill="1" applyAlignment="1" applyProtection="1">
      <alignment wrapText="1"/>
      <protection locked="0"/>
    </xf>
    <xf numFmtId="37" fontId="0" fillId="0" borderId="96" xfId="0" applyBorder="1"/>
    <xf numFmtId="37" fontId="0" fillId="0" borderId="97" xfId="0" applyBorder="1"/>
    <xf numFmtId="37" fontId="0" fillId="0" borderId="98" xfId="0" applyBorder="1"/>
    <xf numFmtId="37" fontId="0" fillId="0" borderId="99" xfId="0" applyBorder="1"/>
    <xf numFmtId="37" fontId="0" fillId="0" borderId="100" xfId="0" applyBorder="1"/>
    <xf numFmtId="37" fontId="0" fillId="0" borderId="101" xfId="0" applyBorder="1"/>
    <xf numFmtId="37" fontId="0" fillId="0" borderId="102" xfId="0" applyBorder="1"/>
    <xf numFmtId="37" fontId="62" fillId="0" borderId="95" xfId="0" applyFont="1" applyBorder="1"/>
    <xf numFmtId="37" fontId="64" fillId="0" borderId="98" xfId="0" applyFont="1" applyBorder="1" applyAlignment="1">
      <alignment horizontal="right"/>
    </xf>
    <xf numFmtId="37" fontId="64" fillId="0" borderId="0" xfId="0" applyFont="1"/>
    <xf numFmtId="0" fontId="64" fillId="0" borderId="98" xfId="0" applyNumberFormat="1" applyFont="1" applyBorder="1"/>
    <xf numFmtId="37" fontId="18" fillId="7" borderId="0" xfId="0" applyFont="1" applyFill="1"/>
    <xf numFmtId="37" fontId="21" fillId="7" borderId="0" xfId="0" applyFont="1" applyFill="1"/>
    <xf numFmtId="37" fontId="70" fillId="16" borderId="0" xfId="2" applyFont="1" applyFill="1" applyAlignment="1" applyProtection="1">
      <alignment vertical="center"/>
      <protection locked="0"/>
    </xf>
    <xf numFmtId="37" fontId="69" fillId="26" borderId="0" xfId="2" applyFont="1" applyFill="1" applyAlignment="1" applyProtection="1">
      <alignment vertical="center" wrapText="1"/>
      <protection locked="0"/>
    </xf>
    <xf numFmtId="37" fontId="19" fillId="28" borderId="0" xfId="0" applyFont="1" applyFill="1" applyProtection="1">
      <protection hidden="1"/>
    </xf>
    <xf numFmtId="37" fontId="21" fillId="28" borderId="0" xfId="0" applyFont="1" applyFill="1" applyProtection="1">
      <protection hidden="1"/>
    </xf>
    <xf numFmtId="37" fontId="70" fillId="13" borderId="0" xfId="2" applyFont="1" applyFill="1" applyAlignment="1" applyProtection="1">
      <alignment vertical="center"/>
      <protection locked="0"/>
    </xf>
    <xf numFmtId="39" fontId="14" fillId="25" borderId="0" xfId="0" applyNumberFormat="1" applyFont="1" applyFill="1" applyProtection="1">
      <protection locked="0"/>
    </xf>
    <xf numFmtId="37" fontId="71" fillId="25" borderId="0" xfId="0" applyFont="1" applyFill="1"/>
    <xf numFmtId="37" fontId="0" fillId="25" borderId="0" xfId="0" applyFill="1"/>
    <xf numFmtId="37" fontId="0" fillId="25" borderId="0" xfId="0" applyFill="1" applyProtection="1">
      <protection locked="0"/>
    </xf>
    <xf numFmtId="37" fontId="71" fillId="25" borderId="0" xfId="0" applyFont="1" applyFill="1" applyProtection="1">
      <protection locked="0" hidden="1"/>
    </xf>
    <xf numFmtId="37" fontId="0" fillId="25" borderId="0" xfId="0" applyFill="1" applyProtection="1">
      <protection locked="0" hidden="1"/>
    </xf>
    <xf numFmtId="37" fontId="14" fillId="25" borderId="0" xfId="0" applyFont="1" applyFill="1" applyProtection="1">
      <protection locked="0"/>
    </xf>
    <xf numFmtId="37" fontId="14" fillId="25" borderId="0" xfId="0" applyFont="1" applyFill="1" applyProtection="1">
      <protection locked="0" hidden="1"/>
    </xf>
    <xf numFmtId="37" fontId="72" fillId="25" borderId="0" xfId="0" applyFont="1" applyFill="1"/>
    <xf numFmtId="37" fontId="73" fillId="25" borderId="0" xfId="0" applyFont="1" applyFill="1" applyProtection="1">
      <protection locked="0" hidden="1"/>
    </xf>
    <xf numFmtId="37" fontId="73" fillId="25" borderId="0" xfId="0" applyFont="1" applyFill="1" applyProtection="1">
      <protection locked="0"/>
    </xf>
    <xf numFmtId="39" fontId="73" fillId="25" borderId="0" xfId="0" applyNumberFormat="1" applyFont="1" applyFill="1" applyProtection="1">
      <protection locked="0"/>
    </xf>
    <xf numFmtId="37" fontId="72" fillId="25" borderId="0" xfId="0" applyFont="1" applyFill="1" applyProtection="1">
      <protection locked="0" hidden="1"/>
    </xf>
    <xf numFmtId="37" fontId="73" fillId="0" borderId="0" xfId="0" applyFont="1" applyProtection="1">
      <protection locked="0" hidden="1"/>
    </xf>
    <xf numFmtId="37" fontId="73" fillId="0" borderId="0" xfId="0" applyFont="1" applyProtection="1">
      <protection locked="0"/>
    </xf>
    <xf numFmtId="37" fontId="74" fillId="0" borderId="0" xfId="0" applyFont="1" applyProtection="1">
      <protection locked="0"/>
    </xf>
    <xf numFmtId="37" fontId="75" fillId="7" borderId="0" xfId="0" applyFont="1" applyFill="1"/>
    <xf numFmtId="37" fontId="0" fillId="0" borderId="0" xfId="0" applyAlignment="1">
      <alignment horizontal="left" wrapText="1"/>
    </xf>
    <xf numFmtId="37" fontId="0" fillId="0" borderId="0" xfId="0" applyAlignment="1">
      <alignment horizontal="left" wrapText="1"/>
    </xf>
    <xf numFmtId="37" fontId="12" fillId="16" borderId="103" xfId="0" applyFont="1" applyFill="1" applyBorder="1" applyAlignment="1">
      <alignment horizontal="left" wrapText="1"/>
    </xf>
    <xf numFmtId="37" fontId="12" fillId="16" borderId="104" xfId="0" applyFont="1" applyFill="1" applyBorder="1" applyAlignment="1">
      <alignment horizontal="left" wrapText="1"/>
    </xf>
    <xf numFmtId="37" fontId="12" fillId="16" borderId="105" xfId="0" applyFont="1" applyFill="1" applyBorder="1" applyAlignment="1">
      <alignment horizontal="left" wrapText="1"/>
    </xf>
    <xf numFmtId="37" fontId="12" fillId="16" borderId="106" xfId="0" applyFont="1" applyFill="1" applyBorder="1" applyAlignment="1">
      <alignment horizontal="left" wrapText="1"/>
    </xf>
    <xf numFmtId="37" fontId="12" fillId="16" borderId="107" xfId="0" applyFont="1" applyFill="1" applyBorder="1" applyAlignment="1">
      <alignment horizontal="left" wrapText="1"/>
    </xf>
    <xf numFmtId="37" fontId="12" fillId="16" borderId="108" xfId="0" applyFont="1" applyFill="1" applyBorder="1" applyAlignment="1">
      <alignment horizontal="left" wrapText="1"/>
    </xf>
    <xf numFmtId="37" fontId="49" fillId="0" borderId="0" xfId="2" applyFont="1" applyAlignment="1">
      <alignment horizontal="center"/>
    </xf>
    <xf numFmtId="37" fontId="67" fillId="27" borderId="0" xfId="0" applyFont="1" applyFill="1" applyAlignment="1">
      <alignment horizontal="center"/>
    </xf>
    <xf numFmtId="37" fontId="0" fillId="0" borderId="0" xfId="0" applyAlignment="1">
      <alignment horizontal="left" vertical="center" wrapText="1"/>
    </xf>
    <xf numFmtId="37" fontId="48" fillId="0" borderId="0" xfId="0" applyFont="1" applyAlignment="1">
      <alignment horizontal="left" vertical="top" wrapText="1"/>
    </xf>
    <xf numFmtId="37" fontId="63" fillId="17" borderId="0" xfId="2" applyFont="1" applyFill="1" applyAlignment="1" applyProtection="1">
      <alignment horizontal="left" wrapText="1"/>
      <protection locked="0"/>
    </xf>
    <xf numFmtId="37" fontId="21" fillId="26" borderId="91" xfId="0" applyFont="1" applyFill="1" applyBorder="1" applyAlignment="1" applyProtection="1">
      <alignment horizontal="left"/>
      <protection locked="0"/>
    </xf>
    <xf numFmtId="37" fontId="21" fillId="26" borderId="93" xfId="0" applyFont="1" applyFill="1" applyBorder="1" applyAlignment="1" applyProtection="1">
      <alignment horizontal="left"/>
      <protection locked="0"/>
    </xf>
    <xf numFmtId="37" fontId="36" fillId="20" borderId="66" xfId="0" applyFont="1" applyFill="1" applyBorder="1" applyAlignment="1" applyProtection="1">
      <alignment horizontal="left" vertical="center" wrapText="1"/>
      <protection hidden="1"/>
    </xf>
    <xf numFmtId="37" fontId="36" fillId="20" borderId="67" xfId="0" applyFont="1" applyFill="1" applyBorder="1" applyAlignment="1" applyProtection="1">
      <alignment horizontal="left" vertical="center" wrapText="1"/>
      <protection hidden="1"/>
    </xf>
    <xf numFmtId="37" fontId="19" fillId="5" borderId="0" xfId="0" applyFont="1" applyFill="1" applyAlignment="1">
      <alignment horizontal="left" wrapText="1"/>
    </xf>
    <xf numFmtId="37" fontId="31" fillId="20" borderId="41" xfId="0" applyFont="1" applyFill="1" applyBorder="1" applyAlignment="1" applyProtection="1">
      <alignment horizontal="left" vertical="center" wrapText="1"/>
      <protection hidden="1"/>
    </xf>
    <xf numFmtId="37" fontId="68" fillId="16" borderId="83" xfId="0" applyFont="1" applyFill="1" applyBorder="1" applyAlignment="1" applyProtection="1">
      <alignment horizontal="center" wrapText="1"/>
      <protection hidden="1"/>
    </xf>
    <xf numFmtId="37" fontId="68" fillId="16" borderId="84" xfId="0" applyFont="1" applyFill="1" applyBorder="1" applyAlignment="1" applyProtection="1">
      <alignment horizontal="center" wrapText="1"/>
      <protection hidden="1"/>
    </xf>
    <xf numFmtId="37" fontId="77" fillId="23" borderId="0" xfId="0" applyFont="1" applyFill="1" applyAlignment="1">
      <alignment horizontal="center"/>
    </xf>
    <xf numFmtId="37" fontId="1" fillId="13" borderId="0" xfId="0" applyFont="1" applyFill="1" applyAlignment="1">
      <alignment horizontal="left" wrapText="1"/>
    </xf>
    <xf numFmtId="39" fontId="0" fillId="0" borderId="2" xfId="0" applyNumberFormat="1" applyBorder="1" applyAlignment="1">
      <alignment horizontal="center"/>
    </xf>
    <xf numFmtId="39" fontId="0" fillId="0" borderId="5" xfId="0" applyNumberFormat="1" applyBorder="1" applyAlignment="1">
      <alignment horizontal="center"/>
    </xf>
    <xf numFmtId="37" fontId="0" fillId="3" borderId="2" xfId="0" applyFill="1" applyBorder="1" applyAlignment="1" applyProtection="1">
      <alignment horizontal="left"/>
      <protection locked="0"/>
    </xf>
    <xf numFmtId="37" fontId="0" fillId="3" borderId="3" xfId="0" applyFill="1" applyBorder="1" applyAlignment="1" applyProtection="1">
      <alignment horizontal="left"/>
      <protection locked="0"/>
    </xf>
    <xf numFmtId="37" fontId="4" fillId="3" borderId="2" xfId="0" applyFont="1" applyFill="1" applyBorder="1" applyAlignment="1" applyProtection="1">
      <alignment horizontal="left"/>
      <protection locked="0"/>
    </xf>
    <xf numFmtId="37" fontId="4" fillId="3" borderId="3" xfId="0" applyFont="1" applyFill="1" applyBorder="1" applyAlignment="1" applyProtection="1">
      <alignment horizontal="left"/>
      <protection locked="0"/>
    </xf>
    <xf numFmtId="37" fontId="4" fillId="3" borderId="5" xfId="0" applyFont="1" applyFill="1" applyBorder="1" applyAlignment="1" applyProtection="1">
      <alignment horizontal="left"/>
      <protection locked="0"/>
    </xf>
    <xf numFmtId="39" fontId="4" fillId="3" borderId="10" xfId="0" applyNumberFormat="1" applyFont="1" applyFill="1" applyBorder="1" applyAlignment="1" applyProtection="1">
      <alignment horizontal="center"/>
      <protection locked="0"/>
    </xf>
    <xf numFmtId="39" fontId="4" fillId="3" borderId="12" xfId="0" applyNumberFormat="1" applyFont="1" applyFill="1" applyBorder="1" applyAlignment="1" applyProtection="1">
      <alignment horizontal="center"/>
      <protection locked="0"/>
    </xf>
  </cellXfs>
  <cellStyles count="5">
    <cellStyle name="Currency" xfId="4" builtinId="4"/>
    <cellStyle name="Hyperlink" xfId="2" builtinId="8"/>
    <cellStyle name="Normal" xfId="0" builtinId="0"/>
    <cellStyle name="Normal 2" xfId="1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6600FF"/>
      <color rgb="FFFF6600"/>
      <color rgb="FFFF9933"/>
      <color rgb="FFDEB27C"/>
      <color rgb="FF0000FF"/>
      <color rgb="FFFFFF66"/>
      <color rgb="FFFF3300"/>
      <color rgb="FF008000"/>
      <color rgb="FF5EFCB1"/>
      <color rgb="FF9A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0" dropStyle="combo" dx="20" fmlaLink="CONTROLS!$J$11" fmlaRange="CONTROLS!$D$7:$D$206" sel="1" val="0"/>
</file>

<file path=xl/ctrlProps/ctrlProp2.xml><?xml version="1.0" encoding="utf-8"?>
<formControlPr xmlns="http://schemas.microsoft.com/office/spreadsheetml/2009/9/main" objectType="Drop" dropLines="3" dropStyle="combo" dx="20" fmlaLink="CONTROLS!$J$8" fmlaRange="CONTROLS!$E$7:$E$10" sel="4" val="0"/>
</file>

<file path=xl/ctrlProps/ctrlProp3.xml><?xml version="1.0" encoding="utf-8"?>
<formControlPr xmlns="http://schemas.microsoft.com/office/spreadsheetml/2009/9/main" objectType="Drop" dropLines="3" dropStyle="combo" dx="20" fmlaLink="CONTROLS!$J$5" fmlaRange="CONTROLS!$E$11:$E$14" sel="2"/>
</file>

<file path=xl/ctrlProps/ctrlProp4.xml><?xml version="1.0" encoding="utf-8"?>
<formControlPr xmlns="http://schemas.microsoft.com/office/spreadsheetml/2009/9/main" objectType="List" dx="26" fmlaLink="CONTROLS!$J$12" fmlaRange="CONTROLS!$A$215:$A$259" sel="5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INSTRUCTIONS!A1"/><Relationship Id="rId1" Type="http://schemas.openxmlformats.org/officeDocument/2006/relationships/image" Target="../media/image1.png"/><Relationship Id="rId6" Type="http://schemas.openxmlformats.org/officeDocument/2006/relationships/hyperlink" Target="#'FRINGE ESTIMATOR'!D4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hyperlink" Target="#INSTRUCTIONS!A19"/><Relationship Id="rId7" Type="http://schemas.openxmlformats.org/officeDocument/2006/relationships/hyperlink" Target="#INSTRUCTIONS!A28"/><Relationship Id="rId12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hyperlink" Target="#INSTRUCTIONS!A4"/><Relationship Id="rId6" Type="http://schemas.openxmlformats.org/officeDocument/2006/relationships/image" Target="../media/image11.png"/><Relationship Id="rId11" Type="http://schemas.openxmlformats.org/officeDocument/2006/relationships/hyperlink" Target="#INSTRUCTIONS!A39"/><Relationship Id="rId5" Type="http://schemas.openxmlformats.org/officeDocument/2006/relationships/hyperlink" Target="#INSTRUCTIONS!A23"/><Relationship Id="rId10" Type="http://schemas.openxmlformats.org/officeDocument/2006/relationships/image" Target="../media/image13.png"/><Relationship Id="rId4" Type="http://schemas.openxmlformats.org/officeDocument/2006/relationships/image" Target="../media/image10.png"/><Relationship Id="rId9" Type="http://schemas.openxmlformats.org/officeDocument/2006/relationships/hyperlink" Target="#INSTRUCTIONS!A3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397418</xdr:colOff>
      <xdr:row>18</xdr:row>
      <xdr:rowOff>590422</xdr:rowOff>
    </xdr:from>
    <xdr:to>
      <xdr:col>6</xdr:col>
      <xdr:colOff>419100</xdr:colOff>
      <xdr:row>21</xdr:row>
      <xdr:rowOff>208595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8768" y="4819522"/>
          <a:ext cx="1545682" cy="989773"/>
        </a:xfrm>
        <a:prstGeom prst="rect">
          <a:avLst/>
        </a:prstGeom>
      </xdr:spPr>
    </xdr:pic>
    <xdr:clientData/>
  </xdr:twoCellAnchor>
  <xdr:twoCellAnchor editAs="oneCell">
    <xdr:from>
      <xdr:col>4</xdr:col>
      <xdr:colOff>205746</xdr:colOff>
      <xdr:row>22</xdr:row>
      <xdr:rowOff>80050</xdr:rowOff>
    </xdr:from>
    <xdr:to>
      <xdr:col>6</xdr:col>
      <xdr:colOff>171278</xdr:colOff>
      <xdr:row>26</xdr:row>
      <xdr:rowOff>139254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7096" y="6014125"/>
          <a:ext cx="1489532" cy="821204"/>
        </a:xfrm>
        <a:prstGeom prst="rect">
          <a:avLst/>
        </a:prstGeom>
      </xdr:spPr>
    </xdr:pic>
    <xdr:clientData/>
  </xdr:twoCellAnchor>
  <xdr:twoCellAnchor editAs="oneCell">
    <xdr:from>
      <xdr:col>2</xdr:col>
      <xdr:colOff>372707</xdr:colOff>
      <xdr:row>34</xdr:row>
      <xdr:rowOff>128544</xdr:rowOff>
    </xdr:from>
    <xdr:to>
      <xdr:col>4</xdr:col>
      <xdr:colOff>534595</xdr:colOff>
      <xdr:row>36</xdr:row>
      <xdr:rowOff>352425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0057" y="10282194"/>
          <a:ext cx="1685888" cy="1014456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40</xdr:row>
      <xdr:rowOff>22861</xdr:rowOff>
    </xdr:from>
    <xdr:to>
      <xdr:col>4</xdr:col>
      <xdr:colOff>276225</xdr:colOff>
      <xdr:row>51</xdr:row>
      <xdr:rowOff>86223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6700" y="11929111"/>
          <a:ext cx="3190875" cy="3397112"/>
        </a:xfrm>
        <a:prstGeom prst="rect">
          <a:avLst/>
        </a:prstGeom>
      </xdr:spPr>
    </xdr:pic>
    <xdr:clientData/>
  </xdr:twoCellAnchor>
  <xdr:twoCellAnchor editAs="oneCell">
    <xdr:from>
      <xdr:col>0</xdr:col>
      <xdr:colOff>289560</xdr:colOff>
      <xdr:row>55</xdr:row>
      <xdr:rowOff>106680</xdr:rowOff>
    </xdr:from>
    <xdr:to>
      <xdr:col>2</xdr:col>
      <xdr:colOff>138113</xdr:colOff>
      <xdr:row>63</xdr:row>
      <xdr:rowOff>41620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9560" y="15603855"/>
          <a:ext cx="1505903" cy="1458940"/>
        </a:xfrm>
        <a:prstGeom prst="rect">
          <a:avLst/>
        </a:prstGeom>
      </xdr:spPr>
    </xdr:pic>
    <xdr:clientData/>
  </xdr:twoCellAnchor>
  <xdr:twoCellAnchor>
    <xdr:from>
      <xdr:col>6</xdr:col>
      <xdr:colOff>139130</xdr:colOff>
      <xdr:row>66</xdr:row>
      <xdr:rowOff>12414</xdr:rowOff>
    </xdr:from>
    <xdr:to>
      <xdr:col>9</xdr:col>
      <xdr:colOff>109420</xdr:colOff>
      <xdr:row>69</xdr:row>
      <xdr:rowOff>50514</xdr:rowOff>
    </xdr:to>
    <xdr:sp macro="" textlink="">
      <xdr:nvSpPr>
        <xdr:cNvPr id="31" name="Bevel 30">
          <a:hlinkClick xmlns:r="http://schemas.openxmlformats.org/officeDocument/2006/relationships" r:id="rId6" tooltip="Return to Data Input tab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844480" y="17900364"/>
          <a:ext cx="2237240" cy="628650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Click here to return to Fringe Estimator</a:t>
          </a:r>
        </a:p>
      </xdr:txBody>
    </xdr:sp>
    <xdr:clientData/>
  </xdr:twoCellAnchor>
  <xdr:twoCellAnchor>
    <xdr:from>
      <xdr:col>6</xdr:col>
      <xdr:colOff>18114</xdr:colOff>
      <xdr:row>90</xdr:row>
      <xdr:rowOff>64537</xdr:rowOff>
    </xdr:from>
    <xdr:to>
      <xdr:col>9</xdr:col>
      <xdr:colOff>79844</xdr:colOff>
      <xdr:row>93</xdr:row>
      <xdr:rowOff>148358</xdr:rowOff>
    </xdr:to>
    <xdr:sp macro="" textlink="">
      <xdr:nvSpPr>
        <xdr:cNvPr id="32" name="Bevel 31">
          <a:hlinkClick xmlns:r="http://schemas.openxmlformats.org/officeDocument/2006/relationships" r:id="rId6" tooltip="Return to Data Input tab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723464" y="22772137"/>
          <a:ext cx="2328680" cy="655321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Click here to return to Fringe Estimator</a:t>
          </a:r>
        </a:p>
      </xdr:txBody>
    </xdr:sp>
    <xdr:clientData/>
  </xdr:twoCellAnchor>
  <xdr:twoCellAnchor editAs="oneCell">
    <xdr:from>
      <xdr:col>4</xdr:col>
      <xdr:colOff>94180</xdr:colOff>
      <xdr:row>27</xdr:row>
      <xdr:rowOff>479461</xdr:rowOff>
    </xdr:from>
    <xdr:to>
      <xdr:col>5</xdr:col>
      <xdr:colOff>659259</xdr:colOff>
      <xdr:row>33</xdr:row>
      <xdr:rowOff>147692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75530" y="7508911"/>
          <a:ext cx="1327079" cy="1096981"/>
        </a:xfrm>
        <a:prstGeom prst="rect">
          <a:avLst/>
        </a:prstGeom>
      </xdr:spPr>
    </xdr:pic>
    <xdr:clientData/>
  </xdr:twoCellAnchor>
  <xdr:twoCellAnchor editAs="oneCell">
    <xdr:from>
      <xdr:col>1</xdr:col>
      <xdr:colOff>522270</xdr:colOff>
      <xdr:row>11</xdr:row>
      <xdr:rowOff>119866</xdr:rowOff>
    </xdr:from>
    <xdr:to>
      <xdr:col>6</xdr:col>
      <xdr:colOff>254921</xdr:colOff>
      <xdr:row>15</xdr:row>
      <xdr:rowOff>128428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17620" y="2872591"/>
          <a:ext cx="3542651" cy="770562"/>
        </a:xfrm>
        <a:prstGeom prst="rect">
          <a:avLst/>
        </a:prstGeom>
      </xdr:spPr>
    </xdr:pic>
    <xdr:clientData/>
  </xdr:twoCellAnchor>
  <xdr:twoCellAnchor editAs="oneCell">
    <xdr:from>
      <xdr:col>1</xdr:col>
      <xdr:colOff>694469</xdr:colOff>
      <xdr:row>4</xdr:row>
      <xdr:rowOff>97818</xdr:rowOff>
    </xdr:from>
    <xdr:to>
      <xdr:col>6</xdr:col>
      <xdr:colOff>19050</xdr:colOff>
      <xdr:row>7</xdr:row>
      <xdr:rowOff>78089</xdr:rowOff>
    </xdr:to>
    <xdr:pic>
      <xdr:nvPicPr>
        <xdr:cNvPr id="36" name="Picture 35" descr="C:\Users\lmille3\AppData\Local\Temp\SNAGHTML5d50f254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819" y="1297968"/>
          <a:ext cx="3134581" cy="875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235974</xdr:colOff>
      <xdr:row>4</xdr:row>
      <xdr:rowOff>86201</xdr:rowOff>
    </xdr:from>
    <xdr:to>
      <xdr:col>7</xdr:col>
      <xdr:colOff>44851</xdr:colOff>
      <xdr:row>4</xdr:row>
      <xdr:rowOff>370158</xdr:rowOff>
    </xdr:to>
    <xdr:sp macro="" textlink="">
      <xdr:nvSpPr>
        <xdr:cNvPr id="37" name="Down Arrow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 rot="3826128">
          <a:off x="5084784" y="1142891"/>
          <a:ext cx="283957" cy="57087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77057</xdr:colOff>
      <xdr:row>10</xdr:row>
      <xdr:rowOff>51371</xdr:rowOff>
    </xdr:from>
    <xdr:to>
      <xdr:col>6</xdr:col>
      <xdr:colOff>613687</xdr:colOff>
      <xdr:row>12</xdr:row>
      <xdr:rowOff>52789</xdr:rowOff>
    </xdr:to>
    <xdr:sp macro="" textlink="">
      <xdr:nvSpPr>
        <xdr:cNvPr id="38" name="Down Arrow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 rot="3826128">
          <a:off x="4911900" y="2588878"/>
          <a:ext cx="277643" cy="53663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351033</xdr:colOff>
      <xdr:row>41</xdr:row>
      <xdr:rowOff>291101</xdr:rowOff>
    </xdr:from>
    <xdr:ext cx="2345933" cy="94961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294383" y="12635501"/>
          <a:ext cx="2345933" cy="949619"/>
        </a:xfrm>
        <a:prstGeom prst="rect">
          <a:avLst/>
        </a:prstGeom>
        <a:solidFill>
          <a:srgbClr val="FFFF00"/>
        </a:solidFill>
        <a:ln w="571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IT</a:t>
          </a:r>
          <a:r>
            <a:rPr lang="en-US" sz="1100" b="1" baseline="0"/>
            <a:t> IS VERY  IMPORTANT TO CHOOSE THE CORRECT POSITION TYPE IN ORDER FOR FRINGES TO CALCULATE CORRECTLY.</a:t>
          </a:r>
          <a:endParaRPr lang="en-US" sz="1100" b="1"/>
        </a:p>
      </xdr:txBody>
    </xdr:sp>
    <xdr:clientData/>
  </xdr:oneCellAnchor>
  <xdr:twoCellAnchor editAs="oneCell">
    <xdr:from>
      <xdr:col>0</xdr:col>
      <xdr:colOff>257175</xdr:colOff>
      <xdr:row>1</xdr:row>
      <xdr:rowOff>77057</xdr:rowOff>
    </xdr:from>
    <xdr:to>
      <xdr:col>0</xdr:col>
      <xdr:colOff>603656</xdr:colOff>
      <xdr:row>3</xdr:row>
      <xdr:rowOff>26004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7175" y="448532"/>
          <a:ext cx="346481" cy="47282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16</xdr:row>
      <xdr:rowOff>34248</xdr:rowOff>
    </xdr:from>
    <xdr:to>
      <xdr:col>0</xdr:col>
      <xdr:colOff>603657</xdr:colOff>
      <xdr:row>18</xdr:row>
      <xdr:rowOff>9193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8125" y="3739473"/>
          <a:ext cx="365532" cy="498820"/>
        </a:xfrm>
        <a:prstGeom prst="rect">
          <a:avLst/>
        </a:prstGeom>
      </xdr:spPr>
    </xdr:pic>
    <xdr:clientData/>
  </xdr:twoCellAnchor>
  <xdr:twoCellAnchor editAs="oneCell">
    <xdr:from>
      <xdr:col>0</xdr:col>
      <xdr:colOff>261392</xdr:colOff>
      <xdr:row>20</xdr:row>
      <xdr:rowOff>68493</xdr:rowOff>
    </xdr:from>
    <xdr:to>
      <xdr:col>0</xdr:col>
      <xdr:colOff>595093</xdr:colOff>
      <xdr:row>22</xdr:row>
      <xdr:rowOff>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1392" y="5478693"/>
          <a:ext cx="333701" cy="455382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25</xdr:row>
      <xdr:rowOff>42810</xdr:rowOff>
    </xdr:from>
    <xdr:to>
      <xdr:col>0</xdr:col>
      <xdr:colOff>603656</xdr:colOff>
      <xdr:row>27</xdr:row>
      <xdr:rowOff>30751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28600" y="6548385"/>
          <a:ext cx="375056" cy="511816"/>
        </a:xfrm>
        <a:prstGeom prst="rect">
          <a:avLst/>
        </a:prstGeom>
      </xdr:spPr>
    </xdr:pic>
    <xdr:clientData/>
  </xdr:twoCellAnchor>
  <xdr:twoCellAnchor editAs="oneCell">
    <xdr:from>
      <xdr:col>0</xdr:col>
      <xdr:colOff>206911</xdr:colOff>
      <xdr:row>30</xdr:row>
      <xdr:rowOff>171449</xdr:rowOff>
    </xdr:from>
    <xdr:to>
      <xdr:col>0</xdr:col>
      <xdr:colOff>581025</xdr:colOff>
      <xdr:row>33</xdr:row>
      <xdr:rowOff>24642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06911" y="8515349"/>
          <a:ext cx="374114" cy="596143"/>
        </a:xfrm>
        <a:prstGeom prst="rect">
          <a:avLst/>
        </a:prstGeom>
      </xdr:spPr>
    </xdr:pic>
    <xdr:clientData/>
  </xdr:twoCellAnchor>
  <xdr:twoCellAnchor editAs="oneCell">
    <xdr:from>
      <xdr:col>0</xdr:col>
      <xdr:colOff>308440</xdr:colOff>
      <xdr:row>37</xdr:row>
      <xdr:rowOff>0</xdr:rowOff>
    </xdr:from>
    <xdr:to>
      <xdr:col>0</xdr:col>
      <xdr:colOff>711232</xdr:colOff>
      <xdr:row>39</xdr:row>
      <xdr:rowOff>25792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08440" y="12128108"/>
          <a:ext cx="402792" cy="54966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28</xdr:row>
      <xdr:rowOff>0</xdr:rowOff>
    </xdr:from>
    <xdr:to>
      <xdr:col>8</xdr:col>
      <xdr:colOff>702067</xdr:colOff>
      <xdr:row>30</xdr:row>
      <xdr:rowOff>77058</xdr:rowOff>
    </xdr:to>
    <xdr:sp macro="" textlink="">
      <xdr:nvSpPr>
        <xdr:cNvPr id="46" name="Bevel 45">
          <a:hlinkClick xmlns:r="http://schemas.openxmlformats.org/officeDocument/2006/relationships" r:id="rId6" tooltip="Return to Data Input tab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467350" y="7591425"/>
          <a:ext cx="1445017" cy="829533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00" b="1"/>
            <a:t>Click here to return to Fringe Estimator</a:t>
          </a:r>
        </a:p>
      </xdr:txBody>
    </xdr:sp>
    <xdr:clientData/>
  </xdr:twoCellAnchor>
  <xdr:twoCellAnchor>
    <xdr:from>
      <xdr:col>7</xdr:col>
      <xdr:colOff>94179</xdr:colOff>
      <xdr:row>12</xdr:row>
      <xdr:rowOff>136989</xdr:rowOff>
    </xdr:from>
    <xdr:to>
      <xdr:col>9</xdr:col>
      <xdr:colOff>68494</xdr:colOff>
      <xdr:row>17</xdr:row>
      <xdr:rowOff>25687</xdr:rowOff>
    </xdr:to>
    <xdr:sp macro="" textlink="">
      <xdr:nvSpPr>
        <xdr:cNvPr id="47" name="Bevel 46">
          <a:hlinkClick xmlns:r="http://schemas.openxmlformats.org/officeDocument/2006/relationships" r:id="rId6" tooltip="Return to Data Input tab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561529" y="3080214"/>
          <a:ext cx="1479265" cy="841198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00" b="1"/>
            <a:t>Click here to return to Fring</a:t>
          </a:r>
          <a:r>
            <a:rPr lang="en-US" sz="900" b="1" baseline="0"/>
            <a:t>e Estimator</a:t>
          </a:r>
          <a:endParaRPr lang="en-US" sz="900" b="1"/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710629</xdr:colOff>
      <xdr:row>52</xdr:row>
      <xdr:rowOff>77058</xdr:rowOff>
    </xdr:to>
    <xdr:sp macro="" textlink="">
      <xdr:nvSpPr>
        <xdr:cNvPr id="48" name="Bevel 47">
          <a:hlinkClick xmlns:r="http://schemas.openxmlformats.org/officeDocument/2006/relationships" r:id="rId6" tooltip="Return to Data Input tab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467350" y="14097000"/>
          <a:ext cx="1453579" cy="839058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00" b="1"/>
            <a:t>Click here to return to Fringe Estimator</a:t>
          </a:r>
        </a:p>
      </xdr:txBody>
    </xdr:sp>
    <xdr:clientData/>
  </xdr:twoCellAnchor>
  <xdr:twoCellAnchor>
    <xdr:from>
      <xdr:col>5</xdr:col>
      <xdr:colOff>376719</xdr:colOff>
      <xdr:row>114</xdr:row>
      <xdr:rowOff>51371</xdr:rowOff>
    </xdr:from>
    <xdr:to>
      <xdr:col>9</xdr:col>
      <xdr:colOff>265416</xdr:colOff>
      <xdr:row>116</xdr:row>
      <xdr:rowOff>51371</xdr:rowOff>
    </xdr:to>
    <xdr:sp macro="" textlink="">
      <xdr:nvSpPr>
        <xdr:cNvPr id="49" name="Up Arrow Callout 48" title="CLICK HERE TO RETURN TO TOP OF PAGE">
          <a:hlinkClick xmlns:r="http://schemas.openxmlformats.org/officeDocument/2006/relationships" r:id="rId16" tooltip="RETURN TO TOP OF PAGE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320069" y="27569096"/>
          <a:ext cx="2917647" cy="571500"/>
        </a:xfrm>
        <a:prstGeom prst="upArrowCallout">
          <a:avLst/>
        </a:prstGeom>
        <a:solidFill>
          <a:srgbClr val="FF3300"/>
        </a:solidFill>
        <a:scene3d>
          <a:camera prst="orthographicFront"/>
          <a:lightRig rig="threePt" dir="t">
            <a:rot lat="0" lon="0" rev="600000"/>
          </a:lightRig>
        </a:scene3d>
        <a:sp3d contourW="38100" prstMaterial="softEdge">
          <a:bevelT w="38100"/>
          <a:bevelB prst="slope"/>
          <a:contourClr>
            <a:schemeClr val="accent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 TO</a:t>
          </a:r>
          <a:r>
            <a:rPr lang="en-US" sz="1100" baseline="0"/>
            <a:t> RETURN TO TOP OF PAGE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30480</xdr:rowOff>
        </xdr:from>
        <xdr:to>
          <xdr:col>2</xdr:col>
          <xdr:colOff>1668780</xdr:colOff>
          <xdr:row>12</xdr:row>
          <xdr:rowOff>45720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</xdr:row>
          <xdr:rowOff>45720</xdr:rowOff>
        </xdr:from>
        <xdr:to>
          <xdr:col>2</xdr:col>
          <xdr:colOff>1363980</xdr:colOff>
          <xdr:row>9</xdr:row>
          <xdr:rowOff>106680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</xdr:row>
          <xdr:rowOff>30480</xdr:rowOff>
        </xdr:from>
        <xdr:to>
          <xdr:col>2</xdr:col>
          <xdr:colOff>1744980</xdr:colOff>
          <xdr:row>6</xdr:row>
          <xdr:rowOff>45720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121920</xdr:rowOff>
        </xdr:from>
        <xdr:to>
          <xdr:col>3</xdr:col>
          <xdr:colOff>1600200</xdr:colOff>
          <xdr:row>41</xdr:row>
          <xdr:rowOff>76200</xdr:rowOff>
        </xdr:to>
        <xdr:sp macro="" textlink="">
          <xdr:nvSpPr>
            <xdr:cNvPr id="1069" name="List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2111829</xdr:colOff>
      <xdr:row>3</xdr:row>
      <xdr:rowOff>54429</xdr:rowOff>
    </xdr:from>
    <xdr:to>
      <xdr:col>3</xdr:col>
      <xdr:colOff>2578496</xdr:colOff>
      <xdr:row>3</xdr:row>
      <xdr:rowOff>521096</xdr:rowOff>
    </xdr:to>
    <xdr:pic>
      <xdr:nvPicPr>
        <xdr:cNvPr id="6" name="Picture 5">
          <a:hlinkClick xmlns:r="http://schemas.openxmlformats.org/officeDocument/2006/relationships" r:id="rId1" tooltip="Click here for help with this step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4458" y="1524000"/>
          <a:ext cx="466667" cy="4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1817914</xdr:colOff>
      <xdr:row>4</xdr:row>
      <xdr:rowOff>217715</xdr:rowOff>
    </xdr:from>
    <xdr:to>
      <xdr:col>2</xdr:col>
      <xdr:colOff>2284581</xdr:colOff>
      <xdr:row>6</xdr:row>
      <xdr:rowOff>150984</xdr:rowOff>
    </xdr:to>
    <xdr:pic>
      <xdr:nvPicPr>
        <xdr:cNvPr id="7" name="Picture 6">
          <a:hlinkClick xmlns:r="http://schemas.openxmlformats.org/officeDocument/2006/relationships" r:id="rId3" tooltip="Click here for help with this step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98371" y="2220686"/>
          <a:ext cx="466667" cy="4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1502229</xdr:colOff>
      <xdr:row>7</xdr:row>
      <xdr:rowOff>174173</xdr:rowOff>
    </xdr:from>
    <xdr:to>
      <xdr:col>2</xdr:col>
      <xdr:colOff>1968896</xdr:colOff>
      <xdr:row>9</xdr:row>
      <xdr:rowOff>205412</xdr:rowOff>
    </xdr:to>
    <xdr:pic>
      <xdr:nvPicPr>
        <xdr:cNvPr id="8" name="Picture 7">
          <a:hlinkClick xmlns:r="http://schemas.openxmlformats.org/officeDocument/2006/relationships" r:id="rId5" tooltip="Click here for help with this stpe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82686" y="2939144"/>
          <a:ext cx="466667" cy="466667"/>
        </a:xfrm>
        <a:prstGeom prst="rect">
          <a:avLst/>
        </a:prstGeom>
      </xdr:spPr>
    </xdr:pic>
    <xdr:clientData/>
  </xdr:twoCellAnchor>
  <xdr:twoCellAnchor editAs="oneCell">
    <xdr:from>
      <xdr:col>3</xdr:col>
      <xdr:colOff>2100942</xdr:colOff>
      <xdr:row>10</xdr:row>
      <xdr:rowOff>65314</xdr:rowOff>
    </xdr:from>
    <xdr:to>
      <xdr:col>3</xdr:col>
      <xdr:colOff>2567609</xdr:colOff>
      <xdr:row>12</xdr:row>
      <xdr:rowOff>42122</xdr:rowOff>
    </xdr:to>
    <xdr:pic>
      <xdr:nvPicPr>
        <xdr:cNvPr id="9" name="Picture 8">
          <a:hlinkClick xmlns:r="http://schemas.openxmlformats.org/officeDocument/2006/relationships" r:id="rId7" tooltip="Click here for help with this step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03571" y="3483428"/>
          <a:ext cx="466667" cy="466667"/>
        </a:xfrm>
        <a:prstGeom prst="rect">
          <a:avLst/>
        </a:prstGeom>
      </xdr:spPr>
    </xdr:pic>
    <xdr:clientData/>
  </xdr:twoCellAnchor>
  <xdr:twoCellAnchor editAs="oneCell">
    <xdr:from>
      <xdr:col>3</xdr:col>
      <xdr:colOff>772886</xdr:colOff>
      <xdr:row>13</xdr:row>
      <xdr:rowOff>174171</xdr:rowOff>
    </xdr:from>
    <xdr:to>
      <xdr:col>3</xdr:col>
      <xdr:colOff>1239553</xdr:colOff>
      <xdr:row>15</xdr:row>
      <xdr:rowOff>96555</xdr:rowOff>
    </xdr:to>
    <xdr:pic>
      <xdr:nvPicPr>
        <xdr:cNvPr id="10" name="Picture 9">
          <a:hlinkClick xmlns:r="http://schemas.openxmlformats.org/officeDocument/2006/relationships" r:id="rId9" tooltip="Click here for help with this step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475515" y="4299857"/>
          <a:ext cx="466667" cy="4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1883229</xdr:colOff>
      <xdr:row>16</xdr:row>
      <xdr:rowOff>10886</xdr:rowOff>
    </xdr:from>
    <xdr:to>
      <xdr:col>2</xdr:col>
      <xdr:colOff>2349896</xdr:colOff>
      <xdr:row>17</xdr:row>
      <xdr:rowOff>107437</xdr:rowOff>
    </xdr:to>
    <xdr:pic>
      <xdr:nvPicPr>
        <xdr:cNvPr id="11" name="Picture 10">
          <a:hlinkClick xmlns:r="http://schemas.openxmlformats.org/officeDocument/2006/relationships" r:id="rId11" tooltip="Click here for help with this step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363686" y="4898572"/>
          <a:ext cx="466667" cy="46666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272143</xdr:rowOff>
    </xdr:from>
    <xdr:to>
      <xdr:col>1</xdr:col>
      <xdr:colOff>32658</xdr:colOff>
      <xdr:row>14</xdr:row>
      <xdr:rowOff>87086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2275114"/>
          <a:ext cx="1230087" cy="2188029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  <a:alpha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chemeClr val="bg1"/>
            </a:solidFill>
          </a:endParaRPr>
        </a:p>
        <a:p>
          <a:endParaRPr lang="en-US" sz="1400" b="1">
            <a:solidFill>
              <a:schemeClr val="bg1"/>
            </a:solidFill>
          </a:endParaRPr>
        </a:p>
        <a:p>
          <a:r>
            <a:rPr lang="en-US" sz="1400" b="1">
              <a:solidFill>
                <a:schemeClr val="bg1"/>
              </a:solidFill>
            </a:rPr>
            <a:t>CLICK BLUE NUMBER FOR HELP</a:t>
          </a:r>
        </a:p>
        <a:p>
          <a:r>
            <a:rPr lang="en-US" sz="1400" b="1">
              <a:solidFill>
                <a:schemeClr val="bg1"/>
              </a:solidFill>
            </a:rPr>
            <a:t>WITH</a:t>
          </a:r>
          <a:r>
            <a:rPr lang="en-US" sz="1400" b="1" baseline="0">
              <a:solidFill>
                <a:schemeClr val="bg1"/>
              </a:solidFill>
            </a:rPr>
            <a:t> STEP</a:t>
          </a:r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968830</xdr:colOff>
      <xdr:row>0</xdr:row>
      <xdr:rowOff>402772</xdr:rowOff>
    </xdr:from>
    <xdr:to>
      <xdr:col>1</xdr:col>
      <xdr:colOff>272142</xdr:colOff>
      <xdr:row>1</xdr:row>
      <xdr:rowOff>413657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 flipV="1">
          <a:off x="968830" y="402772"/>
          <a:ext cx="500741" cy="533399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Berlin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Consolas-Verdana">
      <a:majorFont>
        <a:latin typeface="Consolas" panose="020B0609020204030204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 panose="020B060403050404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00FF"/>
  </sheetPr>
  <dimension ref="A1:J127"/>
  <sheetViews>
    <sheetView workbookViewId="0">
      <selection activeCell="G45" sqref="G45"/>
    </sheetView>
  </sheetViews>
  <sheetFormatPr defaultRowHeight="15"/>
  <cols>
    <col min="1" max="1" width="10.453125" customWidth="1"/>
    <col min="8" max="8" width="8.6328125" customWidth="1"/>
    <col min="10" max="10" width="4.54296875" customWidth="1"/>
  </cols>
  <sheetData>
    <row r="1" spans="1:9" ht="29.4">
      <c r="A1" s="281" t="s">
        <v>115</v>
      </c>
      <c r="B1" s="281"/>
      <c r="C1" s="281"/>
      <c r="D1" s="281"/>
      <c r="E1" s="281"/>
      <c r="F1" s="281"/>
      <c r="G1" s="281"/>
    </row>
    <row r="3" spans="1:9" ht="24.6">
      <c r="A3" s="218"/>
      <c r="B3" s="219"/>
    </row>
    <row r="4" spans="1:9" ht="24.6" customHeight="1">
      <c r="A4" s="282" t="s">
        <v>159</v>
      </c>
      <c r="B4" s="282"/>
      <c r="C4" s="282"/>
      <c r="D4" s="282"/>
      <c r="E4" s="282"/>
      <c r="F4" s="282"/>
      <c r="G4" s="282"/>
      <c r="H4" s="282"/>
      <c r="I4" s="282"/>
    </row>
    <row r="5" spans="1:9" ht="40.65" customHeight="1">
      <c r="A5" s="272"/>
      <c r="B5" s="272"/>
      <c r="D5" s="272"/>
      <c r="E5" s="272"/>
      <c r="F5" s="272"/>
      <c r="G5" s="272"/>
      <c r="H5" s="272"/>
      <c r="I5" s="272"/>
    </row>
    <row r="6" spans="1:9">
      <c r="A6" s="272"/>
      <c r="B6" s="272"/>
      <c r="C6" s="272"/>
      <c r="D6" s="272"/>
      <c r="E6" s="272"/>
      <c r="F6" s="272"/>
      <c r="G6" s="272"/>
      <c r="H6" s="272"/>
      <c r="I6" s="272"/>
    </row>
    <row r="7" spans="1:9">
      <c r="A7" s="272"/>
      <c r="B7" s="272"/>
      <c r="C7" s="272"/>
      <c r="D7" s="272"/>
      <c r="E7" s="272"/>
      <c r="F7" s="272"/>
      <c r="G7" s="272"/>
      <c r="H7" s="272"/>
      <c r="I7" s="272"/>
    </row>
    <row r="8" spans="1:9">
      <c r="A8" s="272"/>
      <c r="B8" s="272"/>
      <c r="C8" s="272"/>
      <c r="D8" s="272"/>
      <c r="E8" s="272"/>
      <c r="F8" s="272"/>
      <c r="G8" s="272"/>
      <c r="H8" s="272"/>
      <c r="I8" s="272"/>
    </row>
    <row r="9" spans="1:9">
      <c r="A9" s="283" t="s">
        <v>185</v>
      </c>
      <c r="B9" s="283"/>
      <c r="C9" s="283"/>
      <c r="D9" s="283"/>
      <c r="E9" s="283"/>
      <c r="F9" s="283"/>
      <c r="G9" s="283"/>
      <c r="H9" s="283"/>
      <c r="I9" s="283"/>
    </row>
    <row r="10" spans="1:9">
      <c r="A10" s="283"/>
      <c r="B10" s="283"/>
      <c r="C10" s="283"/>
      <c r="D10" s="283"/>
      <c r="E10" s="283"/>
      <c r="F10" s="283"/>
      <c r="G10" s="283"/>
      <c r="H10" s="283"/>
      <c r="I10" s="283"/>
    </row>
    <row r="11" spans="1:9" ht="7.35" customHeight="1">
      <c r="A11" s="283"/>
      <c r="B11" s="283"/>
      <c r="C11" s="283"/>
      <c r="D11" s="283"/>
      <c r="E11" s="283"/>
      <c r="F11" s="283"/>
      <c r="G11" s="283"/>
      <c r="H11" s="283"/>
      <c r="I11" s="283"/>
    </row>
    <row r="12" spans="1:9">
      <c r="A12" s="272"/>
      <c r="B12" s="272"/>
      <c r="C12" s="272"/>
      <c r="D12" s="272"/>
      <c r="E12" s="272"/>
      <c r="F12" s="272"/>
      <c r="G12" s="272"/>
      <c r="H12" s="272"/>
      <c r="I12" s="272"/>
    </row>
    <row r="13" spans="1:9">
      <c r="A13" s="272"/>
      <c r="B13" s="272"/>
      <c r="C13" s="272"/>
      <c r="D13" s="272"/>
      <c r="E13" s="272"/>
      <c r="F13" s="272"/>
      <c r="G13" s="272"/>
      <c r="H13" s="272"/>
      <c r="I13" s="272"/>
    </row>
    <row r="14" spans="1:9">
      <c r="A14" s="272"/>
      <c r="B14" s="272"/>
      <c r="C14" s="272"/>
      <c r="D14" s="272"/>
      <c r="E14" s="272"/>
      <c r="F14" s="272"/>
      <c r="G14" s="272"/>
      <c r="H14" s="272"/>
      <c r="I14" s="272"/>
    </row>
    <row r="15" spans="1:9">
      <c r="A15" s="272"/>
      <c r="B15" s="272"/>
      <c r="C15" s="272"/>
      <c r="D15" s="272"/>
      <c r="E15" s="272"/>
      <c r="F15" s="272"/>
      <c r="G15" s="272"/>
      <c r="H15" s="272"/>
      <c r="I15" s="272"/>
    </row>
    <row r="16" spans="1:9">
      <c r="A16" s="272"/>
      <c r="B16" s="272"/>
      <c r="C16" s="272"/>
      <c r="D16" s="272"/>
      <c r="E16" s="272"/>
      <c r="F16" s="272"/>
      <c r="G16" s="272"/>
      <c r="H16" s="272"/>
      <c r="I16" s="272"/>
    </row>
    <row r="17" spans="1:9">
      <c r="A17" s="272"/>
      <c r="B17" s="272"/>
      <c r="C17" s="272"/>
      <c r="D17" s="272"/>
      <c r="E17" s="272"/>
      <c r="F17" s="272"/>
      <c r="G17" s="272"/>
      <c r="H17" s="272"/>
      <c r="I17" s="272"/>
    </row>
    <row r="18" spans="1:9" ht="24.6">
      <c r="A18" s="218"/>
      <c r="B18" s="219"/>
    </row>
    <row r="19" spans="1:9" ht="47.1" customHeight="1">
      <c r="A19" s="273" t="s">
        <v>146</v>
      </c>
      <c r="B19" s="273"/>
      <c r="C19" s="273"/>
      <c r="D19" s="273"/>
      <c r="E19" s="273"/>
      <c r="F19" s="273"/>
      <c r="G19" s="273"/>
      <c r="H19" s="273"/>
      <c r="I19" s="273"/>
    </row>
    <row r="20" spans="1:9" ht="47.1" customHeight="1">
      <c r="A20" s="272"/>
      <c r="B20" s="272"/>
      <c r="C20" s="272"/>
      <c r="D20" s="272"/>
      <c r="E20" s="272"/>
      <c r="F20" s="272"/>
      <c r="G20" s="272"/>
      <c r="H20" s="272"/>
      <c r="I20" s="272"/>
    </row>
    <row r="22" spans="1:9" ht="24.6">
      <c r="A22" s="218"/>
      <c r="B22" s="219"/>
    </row>
    <row r="23" spans="1:9">
      <c r="A23" t="s">
        <v>116</v>
      </c>
    </row>
    <row r="27" spans="1:9" ht="24.6">
      <c r="A27" s="218"/>
      <c r="B27" s="219"/>
    </row>
    <row r="28" spans="1:9" ht="44.4" customHeight="1">
      <c r="A28" s="273" t="s">
        <v>183</v>
      </c>
      <c r="B28" s="273"/>
      <c r="C28" s="273"/>
      <c r="D28" s="273"/>
      <c r="E28" s="273"/>
      <c r="F28" s="273"/>
      <c r="G28" s="273"/>
      <c r="H28" s="273"/>
      <c r="I28" s="273"/>
    </row>
    <row r="29" spans="1:9" ht="44.4" customHeight="1">
      <c r="A29" s="272"/>
      <c r="B29" s="272"/>
      <c r="C29" s="272"/>
      <c r="D29" s="272"/>
      <c r="E29" s="272"/>
      <c r="F29" s="272"/>
      <c r="G29" s="272"/>
      <c r="H29" s="272"/>
      <c r="I29" s="272"/>
    </row>
    <row r="30" spans="1:9">
      <c r="A30" s="272"/>
      <c r="B30" s="272"/>
      <c r="C30" s="272"/>
      <c r="D30" s="272"/>
      <c r="E30" s="272"/>
      <c r="F30" s="272"/>
      <c r="G30" s="272"/>
      <c r="H30" s="272"/>
      <c r="I30" s="272"/>
    </row>
    <row r="31" spans="1:9">
      <c r="A31" s="272"/>
      <c r="B31" s="272"/>
      <c r="C31" s="272"/>
      <c r="D31" s="272"/>
      <c r="E31" s="272"/>
      <c r="F31" s="272"/>
      <c r="G31" s="272"/>
      <c r="H31" s="272"/>
      <c r="I31" s="272"/>
    </row>
    <row r="32" spans="1:9">
      <c r="A32" s="272"/>
      <c r="B32" s="272"/>
      <c r="C32" s="272"/>
      <c r="D32" s="272"/>
      <c r="E32" s="272"/>
      <c r="F32" s="272"/>
      <c r="G32" s="272"/>
      <c r="H32" s="272"/>
      <c r="I32" s="272"/>
    </row>
    <row r="33" spans="1:9" ht="29.1" customHeight="1">
      <c r="A33" s="218"/>
      <c r="B33" s="219"/>
    </row>
    <row r="34" spans="1:9" ht="84.15" customHeight="1">
      <c r="A34" s="273" t="s">
        <v>184</v>
      </c>
      <c r="B34" s="273"/>
      <c r="C34" s="273"/>
      <c r="D34" s="273"/>
      <c r="E34" s="273"/>
      <c r="F34" s="273"/>
      <c r="G34" s="273"/>
      <c r="H34" s="273"/>
      <c r="I34" s="273"/>
    </row>
    <row r="35" spans="1:9">
      <c r="A35" s="272"/>
      <c r="B35" s="272"/>
      <c r="C35" s="272"/>
      <c r="D35" s="272"/>
      <c r="E35" s="272"/>
      <c r="F35" s="272"/>
      <c r="G35" s="272"/>
      <c r="H35" s="272"/>
      <c r="I35" s="272"/>
    </row>
    <row r="36" spans="1:9" ht="47.4" customHeight="1">
      <c r="A36" s="272"/>
      <c r="B36" s="272"/>
      <c r="C36" s="272"/>
      <c r="D36" s="272"/>
      <c r="E36" s="272"/>
      <c r="F36" s="272"/>
      <c r="G36" s="272"/>
      <c r="H36" s="272"/>
      <c r="I36" s="272"/>
    </row>
    <row r="37" spans="1:9" ht="47.4" customHeight="1">
      <c r="A37" s="272"/>
      <c r="B37" s="272"/>
      <c r="C37" s="272"/>
      <c r="D37" s="272"/>
      <c r="E37" s="272"/>
      <c r="F37" s="272"/>
      <c r="G37" s="272"/>
      <c r="H37" s="272"/>
      <c r="I37" s="272"/>
    </row>
    <row r="38" spans="1:9">
      <c r="A38" s="272"/>
      <c r="B38" s="272"/>
      <c r="C38" s="272"/>
      <c r="D38" s="272"/>
      <c r="E38" s="272"/>
      <c r="F38" s="272"/>
      <c r="G38" s="272"/>
      <c r="H38" s="272"/>
      <c r="I38" s="272"/>
    </row>
    <row r="39" spans="1:9" ht="24.6">
      <c r="A39" s="218"/>
      <c r="B39" s="219"/>
    </row>
    <row r="40" spans="1:9" ht="35.1" customHeight="1">
      <c r="A40" s="273" t="s">
        <v>154</v>
      </c>
      <c r="B40" s="273"/>
      <c r="C40" s="273"/>
      <c r="D40" s="273"/>
      <c r="E40" s="273"/>
      <c r="F40" s="273"/>
      <c r="G40" s="273"/>
      <c r="H40" s="273"/>
      <c r="I40" s="273"/>
    </row>
    <row r="41" spans="1:9" ht="35.1" customHeight="1">
      <c r="A41" s="272"/>
      <c r="B41" s="272"/>
      <c r="C41" s="272"/>
      <c r="D41" s="272"/>
      <c r="E41" s="272"/>
      <c r="F41" s="272"/>
      <c r="G41" s="272"/>
      <c r="H41" s="272"/>
      <c r="I41" s="272"/>
    </row>
    <row r="42" spans="1:9" ht="35.1" customHeight="1">
      <c r="A42" s="272"/>
      <c r="B42" s="272"/>
      <c r="C42" s="272"/>
      <c r="D42" s="272"/>
      <c r="E42" s="272"/>
      <c r="F42" s="272"/>
      <c r="G42" s="272"/>
      <c r="H42" s="272"/>
      <c r="I42" s="272"/>
    </row>
    <row r="43" spans="1:9" ht="35.1" customHeight="1">
      <c r="A43" s="272"/>
      <c r="B43" s="272"/>
      <c r="C43" s="272"/>
      <c r="D43" s="272"/>
      <c r="E43" s="272"/>
      <c r="F43" s="272"/>
      <c r="G43" s="272"/>
      <c r="H43" s="272"/>
      <c r="I43" s="272"/>
    </row>
    <row r="44" spans="1:9" ht="35.1" customHeight="1">
      <c r="A44" s="272"/>
      <c r="B44" s="272"/>
      <c r="C44" s="272"/>
      <c r="D44" s="272"/>
      <c r="E44" s="272"/>
      <c r="F44" s="272"/>
      <c r="G44" s="272"/>
      <c r="H44" s="272"/>
      <c r="I44" s="272"/>
    </row>
    <row r="45" spans="1:9" ht="35.1" customHeight="1">
      <c r="A45" s="272"/>
      <c r="B45" s="272"/>
      <c r="C45" s="272"/>
      <c r="D45" s="272"/>
      <c r="E45" s="272"/>
      <c r="F45" s="272"/>
      <c r="G45" s="272"/>
      <c r="H45" s="272"/>
      <c r="I45" s="272"/>
    </row>
    <row r="46" spans="1:9">
      <c r="A46" s="272"/>
      <c r="B46" s="272"/>
      <c r="C46" s="272"/>
      <c r="D46" s="272"/>
      <c r="E46" s="272"/>
      <c r="F46" s="272"/>
      <c r="G46" s="272"/>
      <c r="H46" s="272"/>
      <c r="I46" s="272"/>
    </row>
    <row r="47" spans="1:9">
      <c r="A47" s="272"/>
      <c r="B47" s="272"/>
      <c r="C47" s="272"/>
      <c r="D47" s="272"/>
      <c r="E47" s="272"/>
      <c r="F47" s="272"/>
      <c r="G47" s="272"/>
      <c r="H47" s="272"/>
      <c r="I47" s="272"/>
    </row>
    <row r="48" spans="1:9">
      <c r="A48" s="272"/>
      <c r="B48" s="272"/>
      <c r="C48" s="272"/>
      <c r="D48" s="272"/>
      <c r="E48" s="272"/>
      <c r="F48" s="272"/>
      <c r="G48" s="272"/>
      <c r="H48" s="272"/>
      <c r="I48" s="272"/>
    </row>
    <row r="53" spans="1:10" ht="21">
      <c r="A53" s="190" t="s">
        <v>136</v>
      </c>
    </row>
    <row r="54" spans="1:10">
      <c r="A54" t="s">
        <v>117</v>
      </c>
    </row>
    <row r="55" spans="1:10">
      <c r="A55" t="s">
        <v>118</v>
      </c>
    </row>
    <row r="58" spans="1:10" ht="15.6" thickBot="1"/>
    <row r="59" spans="1:10" ht="15.6" customHeight="1" thickTop="1">
      <c r="D59" s="274" t="s">
        <v>160</v>
      </c>
      <c r="E59" s="275"/>
      <c r="F59" s="275"/>
      <c r="G59" s="275"/>
      <c r="H59" s="275"/>
      <c r="I59" s="275"/>
      <c r="J59" s="276"/>
    </row>
    <row r="60" spans="1:10" ht="36.75" customHeight="1" thickBot="1">
      <c r="D60" s="277"/>
      <c r="E60" s="278"/>
      <c r="F60" s="278"/>
      <c r="G60" s="278"/>
      <c r="H60" s="278"/>
      <c r="I60" s="278"/>
      <c r="J60" s="279"/>
    </row>
    <row r="61" spans="1:10" ht="15.6" thickTop="1"/>
    <row r="67" spans="1:6" ht="15.6">
      <c r="A67" s="119"/>
      <c r="C67" s="119"/>
    </row>
    <row r="68" spans="1:6" ht="15.6">
      <c r="B68" s="188"/>
      <c r="C68" s="188"/>
      <c r="D68" s="188"/>
      <c r="E68" s="188"/>
      <c r="F68" s="188"/>
    </row>
    <row r="71" spans="1:6" ht="29.4">
      <c r="A71" s="149" t="s">
        <v>119</v>
      </c>
    </row>
    <row r="73" spans="1:6" ht="15.6">
      <c r="A73" s="119" t="s">
        <v>120</v>
      </c>
    </row>
    <row r="74" spans="1:6">
      <c r="A74" t="s">
        <v>121</v>
      </c>
    </row>
    <row r="76" spans="1:6" ht="15.6">
      <c r="A76" s="119" t="s">
        <v>122</v>
      </c>
    </row>
    <row r="77" spans="1:6">
      <c r="A77" t="s">
        <v>140</v>
      </c>
    </row>
    <row r="78" spans="1:6">
      <c r="A78" t="s">
        <v>139</v>
      </c>
    </row>
    <row r="79" spans="1:6">
      <c r="A79" t="s">
        <v>141</v>
      </c>
    </row>
    <row r="81" spans="1:1" ht="15.6">
      <c r="A81" s="119" t="s">
        <v>143</v>
      </c>
    </row>
    <row r="82" spans="1:1" ht="15.6">
      <c r="A82" s="119" t="s">
        <v>142</v>
      </c>
    </row>
    <row r="83" spans="1:1">
      <c r="A83" t="s">
        <v>144</v>
      </c>
    </row>
    <row r="84" spans="1:1">
      <c r="A84" t="s">
        <v>145</v>
      </c>
    </row>
    <row r="86" spans="1:1" ht="15.6">
      <c r="A86" s="119" t="s">
        <v>150</v>
      </c>
    </row>
    <row r="87" spans="1:1">
      <c r="A87" t="s">
        <v>151</v>
      </c>
    </row>
    <row r="88" spans="1:1">
      <c r="A88" t="s">
        <v>152</v>
      </c>
    </row>
    <row r="96" spans="1:1" ht="15.6" thickBot="1"/>
    <row r="97" spans="1:7" ht="16.2" thickTop="1">
      <c r="A97" s="244" t="s">
        <v>168</v>
      </c>
      <c r="B97" s="237"/>
      <c r="C97" s="237"/>
      <c r="D97" s="237"/>
      <c r="E97" s="237"/>
      <c r="F97" s="237"/>
      <c r="G97" s="238"/>
    </row>
    <row r="98" spans="1:7">
      <c r="A98" s="239"/>
      <c r="G98" s="240"/>
    </row>
    <row r="99" spans="1:7">
      <c r="A99" s="245" t="s">
        <v>169</v>
      </c>
      <c r="B99" s="246" t="s">
        <v>170</v>
      </c>
      <c r="C99" s="246"/>
      <c r="D99" s="246"/>
      <c r="E99" s="246"/>
      <c r="G99" s="240"/>
    </row>
    <row r="100" spans="1:7">
      <c r="A100" s="247">
        <v>8011</v>
      </c>
      <c r="B100" s="246" t="s">
        <v>171</v>
      </c>
      <c r="C100" s="246"/>
      <c r="D100" s="246"/>
      <c r="E100" s="246"/>
      <c r="G100" s="240"/>
    </row>
    <row r="101" spans="1:7">
      <c r="A101" s="247">
        <v>8256</v>
      </c>
      <c r="B101" s="246" t="s">
        <v>172</v>
      </c>
      <c r="C101" s="246"/>
      <c r="D101" s="246"/>
      <c r="E101" s="246"/>
      <c r="G101" s="240"/>
    </row>
    <row r="102" spans="1:7">
      <c r="A102" s="247">
        <v>8503</v>
      </c>
      <c r="B102" s="246" t="s">
        <v>173</v>
      </c>
      <c r="C102" s="246"/>
      <c r="D102" s="246"/>
      <c r="E102" s="246"/>
      <c r="G102" s="240"/>
    </row>
    <row r="103" spans="1:7">
      <c r="A103" s="247">
        <v>8229</v>
      </c>
      <c r="B103" s="246" t="s">
        <v>174</v>
      </c>
      <c r="C103" s="246"/>
      <c r="D103" s="246"/>
      <c r="E103" s="246"/>
      <c r="G103" s="240"/>
    </row>
    <row r="104" spans="1:7">
      <c r="A104" s="247">
        <v>8114</v>
      </c>
      <c r="B104" s="246" t="s">
        <v>175</v>
      </c>
      <c r="C104" s="246"/>
      <c r="D104" s="246"/>
      <c r="E104" s="246"/>
      <c r="G104" s="240"/>
    </row>
    <row r="105" spans="1:7">
      <c r="A105" s="245" t="s">
        <v>176</v>
      </c>
      <c r="B105" s="246" t="s">
        <v>177</v>
      </c>
      <c r="C105" s="246"/>
      <c r="D105" s="246"/>
      <c r="E105" s="246"/>
      <c r="G105" s="240"/>
    </row>
    <row r="106" spans="1:7">
      <c r="A106" s="245" t="s">
        <v>178</v>
      </c>
      <c r="B106" s="246" t="s">
        <v>179</v>
      </c>
      <c r="C106" s="246"/>
      <c r="D106" s="246"/>
      <c r="E106" s="246"/>
      <c r="G106" s="240"/>
    </row>
    <row r="107" spans="1:7">
      <c r="A107" s="247">
        <v>8768</v>
      </c>
      <c r="B107" s="246" t="s">
        <v>180</v>
      </c>
      <c r="C107" s="246"/>
      <c r="D107" s="246"/>
      <c r="E107" s="246"/>
      <c r="G107" s="240"/>
    </row>
    <row r="108" spans="1:7">
      <c r="A108" s="247">
        <v>8126</v>
      </c>
      <c r="B108" s="246" t="s">
        <v>181</v>
      </c>
      <c r="C108" s="246"/>
      <c r="D108" s="246"/>
      <c r="E108" s="246"/>
      <c r="G108" s="240"/>
    </row>
    <row r="109" spans="1:7" ht="15.6">
      <c r="A109" s="247">
        <v>8163</v>
      </c>
      <c r="B109" s="246" t="s">
        <v>182</v>
      </c>
      <c r="C109" s="246"/>
      <c r="D109" s="246"/>
      <c r="E109" s="246"/>
      <c r="G109" s="240"/>
    </row>
    <row r="110" spans="1:7" ht="15.6" thickBot="1">
      <c r="A110" s="241"/>
      <c r="B110" s="242"/>
      <c r="C110" s="242"/>
      <c r="D110" s="242"/>
      <c r="E110" s="242"/>
      <c r="F110" s="242"/>
      <c r="G110" s="243"/>
    </row>
    <row r="111" spans="1:7" ht="15.6" thickTop="1"/>
    <row r="112" spans="1:7" ht="29.4">
      <c r="A112" s="149" t="s">
        <v>137</v>
      </c>
    </row>
    <row r="113" spans="1:9">
      <c r="A113" t="s">
        <v>138</v>
      </c>
    </row>
    <row r="115" spans="1:9" ht="29.4">
      <c r="A115" s="149"/>
    </row>
    <row r="116" spans="1:9" ht="15.6">
      <c r="A116" s="189"/>
    </row>
    <row r="119" spans="1:9" ht="15.6">
      <c r="F119" s="280"/>
      <c r="G119" s="280"/>
      <c r="H119" s="280"/>
      <c r="I119" s="280"/>
    </row>
    <row r="127" spans="1:9" ht="15" customHeight="1">
      <c r="A127" s="149"/>
    </row>
  </sheetData>
  <mergeCells count="9">
    <mergeCell ref="A40:I40"/>
    <mergeCell ref="D59:J60"/>
    <mergeCell ref="F119:I119"/>
    <mergeCell ref="A1:G1"/>
    <mergeCell ref="A4:I4"/>
    <mergeCell ref="A9:I11"/>
    <mergeCell ref="A19:I19"/>
    <mergeCell ref="A28:I28"/>
    <mergeCell ref="A34:I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  <pageSetUpPr fitToPage="1"/>
  </sheetPr>
  <dimension ref="A1:O47"/>
  <sheetViews>
    <sheetView showGridLines="0" tabSelected="1" zoomScale="69" zoomScaleNormal="69" zoomScaleSheetLayoutView="53" workbookViewId="0">
      <selection activeCell="C15" sqref="C15"/>
    </sheetView>
  </sheetViews>
  <sheetFormatPr defaultColWidth="8.6328125" defaultRowHeight="16.2"/>
  <cols>
    <col min="1" max="1" width="14.36328125" style="155" customWidth="1"/>
    <col min="2" max="2" width="3.453125" style="155" customWidth="1"/>
    <col min="3" max="3" width="38.453125" style="155" customWidth="1"/>
    <col min="4" max="4" width="31.6328125" style="155" customWidth="1"/>
    <col min="5" max="5" width="1.08984375" style="155" customWidth="1"/>
    <col min="6" max="6" width="4.54296875" style="155" customWidth="1"/>
    <col min="7" max="7" width="26.6328125" style="155" customWidth="1"/>
    <col min="8" max="8" width="33.90625" style="155" customWidth="1"/>
    <col min="9" max="9" width="15.453125" style="155" hidden="1" customWidth="1"/>
    <col min="10" max="10" width="14.90625" style="155" customWidth="1"/>
    <col min="11" max="11" width="17.08984375" style="155" customWidth="1"/>
    <col min="12" max="12" width="5.453125" style="155" customWidth="1"/>
    <col min="13" max="13" width="8.6328125" style="155"/>
    <col min="14" max="14" width="9.453125" style="155" bestFit="1" customWidth="1"/>
    <col min="15" max="16384" width="8.6328125" style="155"/>
  </cols>
  <sheetData>
    <row r="1" spans="1:14" ht="40.65" customHeight="1">
      <c r="A1" s="254" t="s">
        <v>97</v>
      </c>
      <c r="B1" s="154"/>
      <c r="C1" s="248" t="s">
        <v>58</v>
      </c>
      <c r="D1" s="249"/>
      <c r="E1" s="160"/>
      <c r="F1" s="160"/>
      <c r="G1" s="220" t="s">
        <v>164</v>
      </c>
      <c r="H1" s="227"/>
      <c r="I1" s="224"/>
      <c r="J1" s="221" t="s">
        <v>155</v>
      </c>
      <c r="K1" s="229"/>
    </row>
    <row r="2" spans="1:14" ht="31.8">
      <c r="A2" s="250" t="s">
        <v>96</v>
      </c>
      <c r="B2" s="154"/>
      <c r="C2" s="271" t="s">
        <v>191</v>
      </c>
      <c r="D2" s="249"/>
      <c r="E2" s="160"/>
      <c r="F2" s="160"/>
      <c r="G2" s="222" t="s">
        <v>165</v>
      </c>
      <c r="H2" s="228"/>
      <c r="I2" s="225"/>
      <c r="J2" s="223" t="s">
        <v>156</v>
      </c>
      <c r="K2" s="230"/>
    </row>
    <row r="3" spans="1:14" ht="39.15" customHeight="1" thickBot="1">
      <c r="A3" s="251" t="s">
        <v>188</v>
      </c>
      <c r="B3" s="154"/>
      <c r="C3" s="293"/>
      <c r="D3" s="293"/>
      <c r="E3" s="160"/>
      <c r="F3" s="160"/>
      <c r="G3" s="226" t="s">
        <v>158</v>
      </c>
      <c r="H3" s="285"/>
      <c r="I3" s="285"/>
      <c r="J3" s="285"/>
      <c r="K3" s="286"/>
    </row>
    <row r="4" spans="1:14" ht="42" customHeight="1" thickTop="1" thickBot="1">
      <c r="A4" s="191"/>
      <c r="B4" s="154"/>
      <c r="C4" s="231" t="s">
        <v>129</v>
      </c>
      <c r="D4" s="213">
        <v>1</v>
      </c>
      <c r="E4" s="160"/>
      <c r="F4" s="160"/>
      <c r="G4" s="291" t="str">
        <f>IF(OR(CONTROLS!J23="a"),"ESTIMATED FRINGES FOR SELECTED NON-FEDERAL CLASSIFIED POSITION",IF(OR(CONTROLS!J23="B"),"ESTIMATED FRINGES FOR SELECTED NON-FEDERAL CERTIFIED POSITION",IF(OR(CONTROLS!J23="C"),"ESTIMATED FRINGES FOR SELECTED FEDERAL CLASSIFIED POSITION",IF(OR(CONTROLS!J23="D"),"ESTIMATED FRINGES FOR SELECTED FEDERAL CERTIFIED POSITION",""))))</f>
        <v>ESTIMATED FRINGES FOR SELECTED NON-FEDERAL CERTIFIED POSITION</v>
      </c>
      <c r="H4" s="292"/>
      <c r="I4" s="292"/>
      <c r="J4" s="210" t="s">
        <v>126</v>
      </c>
      <c r="K4" s="211"/>
    </row>
    <row r="5" spans="1:14" ht="23.4" customHeight="1" thickTop="1" thickBot="1">
      <c r="A5" s="156"/>
      <c r="B5" s="154"/>
      <c r="C5" s="87" t="s">
        <v>83</v>
      </c>
      <c r="D5" s="214" t="s">
        <v>157</v>
      </c>
      <c r="E5" s="160"/>
      <c r="F5" s="160"/>
      <c r="G5" s="161" t="s">
        <v>92</v>
      </c>
      <c r="H5" s="162" t="s">
        <v>125</v>
      </c>
      <c r="I5" s="163" t="s">
        <v>127</v>
      </c>
      <c r="J5" s="164">
        <f>D4</f>
        <v>1</v>
      </c>
      <c r="K5" s="165"/>
    </row>
    <row r="6" spans="1:14" ht="19.350000000000001" customHeight="1" thickTop="1" thickBot="1">
      <c r="A6" s="156"/>
      <c r="B6" s="154"/>
      <c r="C6" s="158"/>
      <c r="D6" s="212" t="str">
        <f>IF(D4&lt;100%,C15*D4,"$0")</f>
        <v>$0</v>
      </c>
      <c r="E6" s="160"/>
      <c r="F6" s="160"/>
      <c r="G6" s="235">
        <v>211</v>
      </c>
      <c r="H6" s="166" t="s">
        <v>36</v>
      </c>
      <c r="I6" s="167">
        <f>ROUND(IF(CONTROLS!$J$5=4,'FEDERAL 23-24'!J44,'NON FED 23-24'!J42),0)</f>
        <v>0</v>
      </c>
      <c r="J6" s="168">
        <f>ROUND(I6*$D$4,0)</f>
        <v>0</v>
      </c>
      <c r="K6" s="169" t="str">
        <f>IF(CONTROLS!L30&gt;0,"E","OK")</f>
        <v>OK</v>
      </c>
    </row>
    <row r="7" spans="1:14" ht="18" thickTop="1">
      <c r="A7" s="156"/>
      <c r="B7" s="154"/>
      <c r="C7" s="158"/>
      <c r="D7" s="157"/>
      <c r="E7" s="160"/>
      <c r="F7" s="160"/>
      <c r="G7" s="170"/>
      <c r="H7" s="171"/>
      <c r="I7" s="171"/>
      <c r="J7" s="172"/>
      <c r="K7" s="173"/>
    </row>
    <row r="8" spans="1:14" ht="17.399999999999999">
      <c r="A8" s="156"/>
      <c r="B8" s="154"/>
      <c r="C8" s="87" t="s">
        <v>109</v>
      </c>
      <c r="D8" s="158"/>
      <c r="E8" s="160"/>
      <c r="F8" s="160"/>
      <c r="G8" s="235">
        <v>213</v>
      </c>
      <c r="H8" s="174" t="s">
        <v>37</v>
      </c>
      <c r="I8" s="197">
        <f>IF(CONTROLS!$J$5=4,'FEDERAL 23-24'!J45,'NON FED 23-24'!J43)</f>
        <v>0</v>
      </c>
      <c r="J8" s="175">
        <f>ROUNDUP((I8*$D$4),0)</f>
        <v>0</v>
      </c>
      <c r="K8" s="173"/>
    </row>
    <row r="9" spans="1:14" ht="17.399999999999999">
      <c r="A9" s="156"/>
      <c r="B9" s="154"/>
      <c r="C9" s="158"/>
      <c r="D9" s="158"/>
      <c r="E9" s="160"/>
      <c r="F9" s="160"/>
      <c r="G9" s="170"/>
      <c r="H9" s="171"/>
      <c r="I9" s="171"/>
      <c r="J9" s="172"/>
      <c r="K9" s="173"/>
    </row>
    <row r="10" spans="1:14" ht="17.399999999999999">
      <c r="A10" s="156"/>
      <c r="B10" s="154"/>
      <c r="C10" s="158"/>
      <c r="D10" s="158"/>
      <c r="E10" s="160"/>
      <c r="F10" s="160"/>
      <c r="G10" s="235">
        <v>215</v>
      </c>
      <c r="H10" s="166" t="s">
        <v>38</v>
      </c>
      <c r="I10" s="167">
        <f>ROUND(IF(CONTROLS!$J$5=4,'FEDERAL 23-24'!J46,'NON FED 23-24'!J44),0)</f>
        <v>0</v>
      </c>
      <c r="J10" s="175">
        <f>ROUND(I10*$D$4,0)</f>
        <v>0</v>
      </c>
      <c r="K10" s="173"/>
    </row>
    <row r="11" spans="1:14" ht="21.15" customHeight="1">
      <c r="A11" s="156"/>
      <c r="B11" s="154"/>
      <c r="C11" s="289" t="s">
        <v>163</v>
      </c>
      <c r="D11" s="289"/>
      <c r="E11" s="160"/>
      <c r="F11" s="160"/>
      <c r="G11" s="170"/>
      <c r="H11" s="171"/>
      <c r="I11" s="171"/>
      <c r="J11" s="172"/>
      <c r="K11" s="173"/>
    </row>
    <row r="12" spans="1:14" ht="17.399999999999999">
      <c r="A12" s="156"/>
      <c r="B12" s="154"/>
      <c r="C12" s="158"/>
      <c r="D12" s="158"/>
      <c r="E12" s="160"/>
      <c r="F12" s="160"/>
      <c r="G12" s="235">
        <v>221</v>
      </c>
      <c r="H12" s="166" t="s">
        <v>39</v>
      </c>
      <c r="I12" s="167">
        <f>ROUND(IF(CONTROLS!$J$5=4,'FEDERAL 23-24'!J47,'NON FED 23-24'!J45),0)</f>
        <v>0</v>
      </c>
      <c r="J12" s="175">
        <f>ROUND(I12*$D$4,0)</f>
        <v>0</v>
      </c>
      <c r="K12" s="173"/>
    </row>
    <row r="13" spans="1:14" ht="17.399999999999999">
      <c r="A13" s="156"/>
      <c r="B13" s="154"/>
      <c r="C13" s="158"/>
      <c r="D13" s="158"/>
      <c r="E13" s="160"/>
      <c r="F13" s="160"/>
      <c r="G13" s="170"/>
      <c r="H13" s="171"/>
      <c r="I13" s="171"/>
      <c r="J13" s="172"/>
      <c r="K13" s="173"/>
    </row>
    <row r="14" spans="1:14" ht="20.100000000000001" customHeight="1">
      <c r="A14" s="156"/>
      <c r="B14" s="154"/>
      <c r="C14" s="87" t="s">
        <v>162</v>
      </c>
      <c r="D14" s="158"/>
      <c r="E14" s="160"/>
      <c r="F14" s="160"/>
      <c r="G14" s="235">
        <v>222</v>
      </c>
      <c r="H14" s="166" t="s">
        <v>40</v>
      </c>
      <c r="I14" s="167">
        <f>ROUND(IF(CONTROLS!$J$5=4,'FEDERAL 23-24'!J48,'NON FED 23-24'!J46),0)</f>
        <v>0</v>
      </c>
      <c r="J14" s="175">
        <f>ROUND(I14*$D$4,0)</f>
        <v>0</v>
      </c>
      <c r="K14" s="173"/>
      <c r="N14" s="201"/>
    </row>
    <row r="15" spans="1:14" ht="22.65" customHeight="1">
      <c r="A15" s="156"/>
      <c r="B15" s="154"/>
      <c r="C15" s="159"/>
      <c r="D15" s="158"/>
      <c r="E15" s="160"/>
      <c r="F15" s="160"/>
      <c r="G15" s="170"/>
      <c r="H15" s="171"/>
      <c r="I15" s="171"/>
      <c r="J15" s="172"/>
      <c r="K15" s="173"/>
      <c r="N15" s="201"/>
    </row>
    <row r="16" spans="1:14" ht="17.399999999999999">
      <c r="A16" s="156"/>
      <c r="B16" s="154"/>
      <c r="C16" s="158"/>
      <c r="D16" s="158"/>
      <c r="E16" s="160"/>
      <c r="F16" s="176"/>
      <c r="G16" s="235">
        <v>231</v>
      </c>
      <c r="H16" s="166" t="s">
        <v>41</v>
      </c>
      <c r="I16" s="167">
        <f>ROUND(IF(CONTROLS!$J$5=4,'FEDERAL 23-24'!J49,'NON FED 23-24'!J47),0)</f>
        <v>0</v>
      </c>
      <c r="J16" s="175">
        <f>ROUND(I16*$D$4,0)</f>
        <v>0</v>
      </c>
      <c r="K16" s="173"/>
    </row>
    <row r="17" spans="1:15" ht="29.4" customHeight="1">
      <c r="A17" s="156"/>
      <c r="B17" s="154"/>
      <c r="C17" s="289" t="s">
        <v>153</v>
      </c>
      <c r="D17" s="289"/>
      <c r="E17" s="160"/>
      <c r="F17" s="160"/>
      <c r="G17" s="170"/>
      <c r="H17" s="171"/>
      <c r="I17" s="171"/>
      <c r="J17" s="172"/>
      <c r="K17" s="173"/>
    </row>
    <row r="18" spans="1:15" ht="17.399999999999999">
      <c r="A18" s="156"/>
      <c r="B18" s="154"/>
      <c r="C18" s="158"/>
      <c r="D18" s="158"/>
      <c r="E18" s="160"/>
      <c r="F18" s="160"/>
      <c r="G18" s="235">
        <v>232</v>
      </c>
      <c r="H18" s="166" t="s">
        <v>42</v>
      </c>
      <c r="I18" s="167">
        <f>ROUND(IF(CONTROLS!$J$5=4,'FEDERAL 23-24'!J50,'NON FED 23-24'!J48),0)</f>
        <v>0</v>
      </c>
      <c r="J18" s="175">
        <f>ROUND(I18*$D$4,0)</f>
        <v>0</v>
      </c>
      <c r="K18" s="173"/>
      <c r="O18" s="201"/>
    </row>
    <row r="19" spans="1:15" ht="17.399999999999999">
      <c r="A19" s="156"/>
      <c r="B19" s="154"/>
      <c r="C19" s="158"/>
      <c r="D19" s="158"/>
      <c r="E19" s="160"/>
      <c r="F19" s="160"/>
      <c r="G19" s="170"/>
      <c r="H19" s="171"/>
      <c r="I19" s="171"/>
      <c r="J19" s="172"/>
      <c r="K19" s="173"/>
    </row>
    <row r="20" spans="1:15" ht="17.399999999999999">
      <c r="A20" s="156"/>
      <c r="B20" s="154"/>
      <c r="C20" s="158"/>
      <c r="D20" s="158"/>
      <c r="E20" s="160"/>
      <c r="F20" s="160"/>
      <c r="G20" s="235">
        <v>253</v>
      </c>
      <c r="H20" s="166" t="s">
        <v>43</v>
      </c>
      <c r="I20" s="167">
        <f>ROUND(IF(CONTROLS!$J$5=4,'FEDERAL 23-24'!J51,'NON FED 23-24'!J49),0)</f>
        <v>0</v>
      </c>
      <c r="J20" s="175">
        <f>ROUND(I20*$D$4,0)</f>
        <v>0</v>
      </c>
      <c r="K20" s="173"/>
    </row>
    <row r="21" spans="1:15" ht="17.399999999999999" customHeight="1">
      <c r="A21" s="156"/>
      <c r="B21" s="154"/>
      <c r="C21" s="158"/>
      <c r="D21" s="158"/>
      <c r="E21" s="160"/>
      <c r="F21" s="160"/>
      <c r="G21" s="170"/>
      <c r="H21" s="171"/>
      <c r="I21" s="171"/>
      <c r="J21" s="172"/>
      <c r="K21" s="173"/>
    </row>
    <row r="22" spans="1:15" ht="17.399999999999999">
      <c r="A22" s="156"/>
      <c r="B22" s="154"/>
      <c r="C22" s="158"/>
      <c r="D22" s="158"/>
      <c r="E22" s="160"/>
      <c r="F22" s="160"/>
      <c r="G22" s="235">
        <v>260</v>
      </c>
      <c r="H22" s="166" t="s">
        <v>44</v>
      </c>
      <c r="I22" s="167">
        <f>ROUND(IF(CONTROLS!$J$5=4,'FEDERAL 23-24'!J52,'NON FED 23-24'!J50),0)</f>
        <v>0</v>
      </c>
      <c r="J22" s="175">
        <f>ROUND(I22*$D$4,0)</f>
        <v>0</v>
      </c>
      <c r="K22" s="173"/>
    </row>
    <row r="23" spans="1:15" ht="17.399999999999999">
      <c r="A23" s="156"/>
      <c r="B23" s="154"/>
      <c r="C23" s="158"/>
      <c r="D23" s="158"/>
      <c r="E23" s="160"/>
      <c r="F23" s="160"/>
      <c r="G23" s="170"/>
      <c r="H23" s="171"/>
      <c r="I23" s="171"/>
      <c r="J23" s="172"/>
      <c r="K23" s="173"/>
    </row>
    <row r="24" spans="1:15" ht="17.399999999999999">
      <c r="A24" s="156"/>
      <c r="B24" s="154"/>
      <c r="C24" s="158"/>
      <c r="D24" s="158"/>
      <c r="E24" s="160"/>
      <c r="F24" s="160"/>
      <c r="G24" s="235">
        <v>294</v>
      </c>
      <c r="H24" s="166" t="s">
        <v>93</v>
      </c>
      <c r="I24" s="167">
        <f>ROUND(IF(CONTROLS!$J$5=4,'FEDERAL 23-24'!J53,0),0)</f>
        <v>0</v>
      </c>
      <c r="J24" s="175">
        <f>ROUND(I24*$D$4,0)</f>
        <v>0</v>
      </c>
      <c r="K24" s="173"/>
    </row>
    <row r="25" spans="1:15" ht="17.399999999999999">
      <c r="A25" s="156"/>
      <c r="B25" s="154"/>
      <c r="C25" s="158"/>
      <c r="D25" s="158"/>
      <c r="E25" s="160"/>
      <c r="F25" s="160"/>
      <c r="G25" s="235">
        <v>295</v>
      </c>
      <c r="H25" s="166" t="s">
        <v>94</v>
      </c>
      <c r="I25" s="167">
        <f>ROUND(IF(CONTROLS!$J$5=4,'FEDERAL 23-24'!J54,0),0)</f>
        <v>0</v>
      </c>
      <c r="J25" s="175">
        <f>ROUND(I25*$D$4,0)</f>
        <v>0</v>
      </c>
      <c r="K25" s="173"/>
    </row>
    <row r="26" spans="1:15" ht="17.399999999999999">
      <c r="A26" s="156"/>
      <c r="B26" s="154"/>
      <c r="C26" s="158"/>
      <c r="D26" s="158"/>
      <c r="E26" s="160"/>
      <c r="F26" s="160"/>
      <c r="G26" s="235">
        <v>296</v>
      </c>
      <c r="H26" s="166" t="s">
        <v>95</v>
      </c>
      <c r="I26" s="197">
        <f>IF(CONTROLS!$J$5=4,'FEDERAL 23-24'!J55,0)</f>
        <v>0</v>
      </c>
      <c r="J26" s="175">
        <f>ROUNDUP((I26*$D$4),0)</f>
        <v>0</v>
      </c>
      <c r="K26" s="173"/>
    </row>
    <row r="27" spans="1:15" ht="16.8">
      <c r="A27" s="156"/>
      <c r="B27" s="154"/>
      <c r="C27" s="158"/>
      <c r="D27" s="158"/>
      <c r="E27" s="160"/>
      <c r="F27" s="160"/>
      <c r="G27" s="207"/>
      <c r="H27" s="208"/>
      <c r="I27" s="209"/>
      <c r="J27" s="177"/>
      <c r="K27" s="173"/>
    </row>
    <row r="28" spans="1:15" ht="13.35" customHeight="1">
      <c r="A28" s="284" t="s">
        <v>167</v>
      </c>
      <c r="B28" s="154"/>
      <c r="C28" s="158"/>
      <c r="D28" s="236"/>
      <c r="E28" s="160"/>
      <c r="F28" s="160"/>
      <c r="G28" s="204"/>
      <c r="H28" s="205"/>
      <c r="I28" s="206"/>
      <c r="J28" s="203"/>
      <c r="K28" s="290" t="str">
        <f>IF($I$29="ERROR","JOB TYPE AND POSITION TYPE DO NOT MATCH","")</f>
        <v/>
      </c>
      <c r="N28" s="201"/>
    </row>
    <row r="29" spans="1:15" ht="54" customHeight="1">
      <c r="A29" s="284"/>
      <c r="B29" s="154"/>
      <c r="C29" s="158"/>
      <c r="D29" s="236"/>
      <c r="E29" s="160"/>
      <c r="F29" s="160"/>
      <c r="G29" s="232" t="str">
        <f>IF($D$4&lt;100%,"Partial Fringes","")</f>
        <v/>
      </c>
      <c r="H29" s="179" t="s">
        <v>45</v>
      </c>
      <c r="I29" s="180">
        <f>IF(K6="E","ERROR",SUM(I6:I26))</f>
        <v>0</v>
      </c>
      <c r="J29" s="181">
        <f>IF(K6="E","ERROR",SUM(J6:J26))</f>
        <v>0</v>
      </c>
      <c r="K29" s="290"/>
    </row>
    <row r="30" spans="1:15" ht="36.75" customHeight="1">
      <c r="A30" s="284"/>
      <c r="B30" s="154"/>
      <c r="C30" s="158"/>
      <c r="D30" s="236"/>
      <c r="E30" s="160"/>
      <c r="F30" s="160"/>
      <c r="G30" s="178"/>
      <c r="H30" s="182" t="s">
        <v>6</v>
      </c>
      <c r="I30" s="183"/>
      <c r="J30" s="184" t="s">
        <v>6</v>
      </c>
      <c r="K30" s="290"/>
    </row>
    <row r="31" spans="1:15" ht="39.6" customHeight="1" thickBot="1">
      <c r="A31" s="156"/>
      <c r="B31" s="154"/>
      <c r="C31" s="158"/>
      <c r="D31" s="158"/>
      <c r="E31" s="160"/>
      <c r="F31" s="160"/>
      <c r="G31" s="232" t="str">
        <f>IF($D$4&lt;100%,"Partial Salary/Fringes","")</f>
        <v/>
      </c>
      <c r="H31" s="185" t="s">
        <v>128</v>
      </c>
      <c r="I31" s="186">
        <f>IF(CONTROLS!$J$5=4,'FEDERAL 23-24'!J59,'NON FED 23-24'!J54)</f>
        <v>0</v>
      </c>
      <c r="J31" s="187">
        <f>IF(K6="ERROR","ERROR",IF(D4=100%,C15+J29,IF(D4&lt;100,D6+J29)))</f>
        <v>0</v>
      </c>
      <c r="K31" s="287" t="str">
        <f>IF($I$29="ERROR","SEE INSTRUCTIONS FOR HELP WITH THIS ERROR","")</f>
        <v/>
      </c>
    </row>
    <row r="32" spans="1:15" ht="18" customHeight="1" thickBot="1">
      <c r="A32" s="156"/>
      <c r="B32" s="154"/>
      <c r="C32" s="158"/>
      <c r="D32" s="158"/>
      <c r="E32" s="160"/>
      <c r="F32" s="160"/>
      <c r="K32" s="288"/>
    </row>
    <row r="33" spans="1:11">
      <c r="A33" s="156"/>
      <c r="B33" s="154"/>
      <c r="C33" s="158"/>
      <c r="D33" s="158"/>
      <c r="E33" s="160"/>
      <c r="F33" s="160"/>
      <c r="G33" s="252" t="s">
        <v>186</v>
      </c>
      <c r="H33" s="253"/>
      <c r="I33" s="253"/>
      <c r="J33" s="253"/>
      <c r="K33" s="160"/>
    </row>
    <row r="34" spans="1:11" ht="25.35" customHeight="1">
      <c r="A34" s="156"/>
      <c r="B34" s="154"/>
      <c r="C34" s="158"/>
      <c r="D34" s="158"/>
      <c r="E34" s="160"/>
      <c r="F34" s="160"/>
      <c r="G34" s="252" t="s">
        <v>187</v>
      </c>
      <c r="H34" s="253"/>
      <c r="I34" s="253"/>
      <c r="J34" s="253"/>
      <c r="K34" s="202"/>
    </row>
    <row r="35" spans="1:11">
      <c r="A35" s="156"/>
      <c r="B35" s="154"/>
      <c r="C35" s="158"/>
      <c r="D35" s="158"/>
      <c r="E35" s="160"/>
      <c r="F35" s="160"/>
      <c r="G35" s="160"/>
      <c r="H35" s="160"/>
      <c r="I35" s="160"/>
      <c r="J35" s="160"/>
      <c r="K35" s="160"/>
    </row>
    <row r="36" spans="1:11">
      <c r="A36" s="156"/>
      <c r="B36" s="154"/>
      <c r="C36" s="158"/>
      <c r="D36" s="158"/>
      <c r="E36" s="160"/>
      <c r="F36" s="160"/>
      <c r="G36" s="160"/>
      <c r="H36" s="160"/>
      <c r="I36" s="160"/>
      <c r="J36" s="160"/>
      <c r="K36" s="160"/>
    </row>
    <row r="37" spans="1:11">
      <c r="A37" s="156"/>
      <c r="B37" s="154"/>
      <c r="C37" s="158"/>
      <c r="D37" s="158"/>
      <c r="E37" s="160"/>
      <c r="F37" s="160"/>
      <c r="G37" s="160"/>
      <c r="H37" s="160"/>
      <c r="I37" s="160"/>
      <c r="J37" s="160"/>
      <c r="K37" s="160"/>
    </row>
    <row r="38" spans="1:11">
      <c r="A38" s="156"/>
      <c r="B38" s="154"/>
      <c r="C38" s="158"/>
      <c r="D38" s="158"/>
      <c r="E38" s="160"/>
      <c r="F38" s="160"/>
      <c r="G38" s="160"/>
      <c r="H38" s="160"/>
      <c r="I38" s="160"/>
      <c r="J38" s="160"/>
      <c r="K38" s="160"/>
    </row>
    <row r="39" spans="1:11">
      <c r="A39" s="156"/>
      <c r="B39" s="154"/>
      <c r="C39" s="158"/>
      <c r="D39" s="158"/>
      <c r="E39" s="160"/>
      <c r="F39" s="160"/>
      <c r="G39" s="160"/>
      <c r="H39" s="160"/>
      <c r="I39" s="160"/>
      <c r="J39" s="160"/>
      <c r="K39" s="160"/>
    </row>
    <row r="40" spans="1:11">
      <c r="A40" s="156"/>
      <c r="B40" s="154"/>
      <c r="C40" s="158"/>
      <c r="D40" s="158"/>
      <c r="E40" s="160"/>
      <c r="F40" s="160"/>
      <c r="G40" s="160"/>
      <c r="H40" s="160"/>
      <c r="I40" s="160"/>
      <c r="J40" s="160"/>
      <c r="K40" s="160"/>
    </row>
    <row r="41" spans="1:11">
      <c r="A41" s="156"/>
      <c r="B41" s="154"/>
      <c r="C41" s="158"/>
      <c r="D41" s="158"/>
      <c r="E41" s="160"/>
      <c r="F41" s="160"/>
      <c r="G41" s="160"/>
      <c r="H41" s="160"/>
      <c r="I41" s="160"/>
      <c r="J41" s="160"/>
      <c r="K41" s="160"/>
    </row>
    <row r="42" spans="1:11">
      <c r="A42" s="156"/>
      <c r="B42" s="154"/>
      <c r="C42" s="158"/>
      <c r="D42" s="158"/>
      <c r="E42" s="160"/>
      <c r="F42" s="160"/>
      <c r="G42" s="160"/>
      <c r="H42" s="160"/>
      <c r="I42" s="160"/>
      <c r="J42" s="160"/>
      <c r="K42" s="160"/>
    </row>
    <row r="43" spans="1:11">
      <c r="A43" s="156"/>
      <c r="B43" s="154"/>
      <c r="C43" s="158"/>
      <c r="D43" s="158"/>
    </row>
    <row r="44" spans="1:11">
      <c r="A44" s="156"/>
      <c r="B44" s="154"/>
      <c r="C44" s="158"/>
      <c r="D44" s="158"/>
    </row>
    <row r="45" spans="1:11">
      <c r="A45" s="156"/>
      <c r="B45" s="154"/>
      <c r="C45" s="158"/>
      <c r="D45" s="158"/>
    </row>
    <row r="46" spans="1:11">
      <c r="B46" s="154"/>
      <c r="C46" s="158"/>
      <c r="D46" s="158"/>
    </row>
    <row r="47" spans="1:11">
      <c r="B47" s="154"/>
      <c r="C47" s="158"/>
      <c r="D47" s="158"/>
    </row>
  </sheetData>
  <sheetProtection algorithmName="SHA-512" hashValue="iacNkxt4G4e++D1wAJ+a6c1WBhGx2GgsMgXrFVtkVtzoTZ5qmwOGoQJ3jZjNWhGVXeHazWWrG7cgU+cWLsvNKg==" saltValue="Tr9tJMeto+7S8/qreFsoTQ==" spinCount="100000" sheet="1" selectLockedCells="1"/>
  <mergeCells count="8">
    <mergeCell ref="A28:A30"/>
    <mergeCell ref="H3:K3"/>
    <mergeCell ref="K31:K32"/>
    <mergeCell ref="C11:D11"/>
    <mergeCell ref="K28:K30"/>
    <mergeCell ref="G4:I4"/>
    <mergeCell ref="C17:D17"/>
    <mergeCell ref="C3:D3"/>
  </mergeCells>
  <hyperlinks>
    <hyperlink ref="A1" location="INSTRUCTIONS!A1" tooltip="Click here for Instructions on how to use Fringe Estimator" display="Instructions" xr:uid="{00000000-0004-0000-0100-000000000000}"/>
    <hyperlink ref="A2" location="INSTRUCTIONS!A77" tooltip="Click here for FAQ" display="FAQ" xr:uid="{00000000-0004-0000-0100-000001000000}"/>
    <hyperlink ref="A3" location="INSTRUCTIONS!A113" tooltip="Click here for contact info!" display="Still have questions?" xr:uid="{00000000-0004-0000-0100-000002000000}"/>
    <hyperlink ref="A28:A30" location="INSTRUCTIONS!A100" tooltip="Click Here" display="Click here for list of common &quot;Classified with KTRS&quot; positions" xr:uid="{00000000-0004-0000-0100-000003000000}"/>
  </hyperlinks>
  <pageMargins left="0.1" right="0.1" top="0.1" bottom="0.1" header="0.3" footer="0.3"/>
  <pageSetup scale="62" orientation="landscape" r:id="rId1"/>
  <colBreaks count="1" manualBreakCount="1">
    <brk id="11" max="4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Drop Down 24">
              <controlPr defaultSize="0" autoLine="0" autoPict="0">
                <anchor moveWithCells="1">
                  <from>
                    <xdr:col>2</xdr:col>
                    <xdr:colOff>38100</xdr:colOff>
                    <xdr:row>11</xdr:row>
                    <xdr:rowOff>30480</xdr:rowOff>
                  </from>
                  <to>
                    <xdr:col>2</xdr:col>
                    <xdr:colOff>1668780</xdr:colOff>
                    <xdr:row>12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Drop Down 41">
              <controlPr defaultSize="0" autoLine="0" autoPict="0">
                <anchor moveWithCells="1">
                  <from>
                    <xdr:col>2</xdr:col>
                    <xdr:colOff>30480</xdr:colOff>
                    <xdr:row>8</xdr:row>
                    <xdr:rowOff>45720</xdr:rowOff>
                  </from>
                  <to>
                    <xdr:col>2</xdr:col>
                    <xdr:colOff>1363980</xdr:colOff>
                    <xdr:row>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Drop Down 43">
              <controlPr defaultSize="0" autoLine="0" autoPict="0">
                <anchor moveWithCells="1">
                  <from>
                    <xdr:col>2</xdr:col>
                    <xdr:colOff>7620</xdr:colOff>
                    <xdr:row>5</xdr:row>
                    <xdr:rowOff>30480</xdr:rowOff>
                  </from>
                  <to>
                    <xdr:col>2</xdr:col>
                    <xdr:colOff>1744980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List Box 45">
              <controlPr defaultSize="0" autoLine="0" autoPict="0">
                <anchor moveWithCells="1">
                  <from>
                    <xdr:col>2</xdr:col>
                    <xdr:colOff>38100</xdr:colOff>
                    <xdr:row>17</xdr:row>
                    <xdr:rowOff>121920</xdr:rowOff>
                  </from>
                  <to>
                    <xdr:col>3</xdr:col>
                    <xdr:colOff>1600200</xdr:colOff>
                    <xdr:row>41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1"/>
  </sheetPr>
  <dimension ref="A1:M276"/>
  <sheetViews>
    <sheetView showGridLines="0" topLeftCell="B142" zoomScale="73" zoomScaleNormal="73" workbookViewId="0">
      <selection activeCell="O16" sqref="O16"/>
    </sheetView>
  </sheetViews>
  <sheetFormatPr defaultRowHeight="15.6"/>
  <cols>
    <col min="1" max="1" width="78.36328125" style="119" bestFit="1" customWidth="1"/>
    <col min="4" max="4" width="42.90625" style="95" customWidth="1"/>
    <col min="10" max="10" width="14.54296875" customWidth="1"/>
    <col min="11" max="11" width="9.08984375" customWidth="1"/>
    <col min="12" max="12" width="9.90625" customWidth="1"/>
  </cols>
  <sheetData>
    <row r="1" spans="1:13" ht="22.8">
      <c r="A1" s="234" t="s">
        <v>106</v>
      </c>
      <c r="B1" s="193"/>
      <c r="C1" s="193"/>
      <c r="D1" s="194"/>
      <c r="E1" s="193"/>
    </row>
    <row r="2" spans="1:13" ht="22.8">
      <c r="A2" s="234" t="s">
        <v>87</v>
      </c>
      <c r="B2" s="193"/>
      <c r="C2" s="193"/>
      <c r="D2" s="194"/>
      <c r="E2" s="193"/>
    </row>
    <row r="3" spans="1:13" ht="16.2" thickBot="1"/>
    <row r="4" spans="1:13" ht="52.35" customHeight="1" thickTop="1" thickBot="1">
      <c r="A4" s="233" t="s">
        <v>135</v>
      </c>
      <c r="J4" s="294" t="s">
        <v>111</v>
      </c>
      <c r="K4" s="294"/>
      <c r="L4" s="294"/>
      <c r="M4" s="294"/>
    </row>
    <row r="5" spans="1:13" ht="17.100000000000001" customHeight="1" thickTop="1" thickBot="1">
      <c r="J5" s="80">
        <v>2</v>
      </c>
      <c r="K5" s="81" t="s">
        <v>123</v>
      </c>
      <c r="L5" s="82"/>
    </row>
    <row r="6" spans="1:13" ht="16.8" thickBot="1">
      <c r="D6" s="98" t="s">
        <v>60</v>
      </c>
      <c r="J6" s="116"/>
      <c r="K6" s="117"/>
      <c r="L6" s="118"/>
    </row>
    <row r="7" spans="1:13" ht="22.2">
      <c r="A7" s="120"/>
      <c r="B7" s="79"/>
      <c r="C7" s="79"/>
      <c r="D7" s="99">
        <v>1</v>
      </c>
      <c r="E7" s="101" t="s">
        <v>82</v>
      </c>
      <c r="F7" s="102"/>
      <c r="J7" s="116"/>
      <c r="K7" s="117"/>
      <c r="L7" s="118"/>
    </row>
    <row r="8" spans="1:13" ht="22.2">
      <c r="A8" s="195"/>
      <c r="B8" s="79"/>
      <c r="C8" s="79"/>
      <c r="D8" s="99">
        <v>2</v>
      </c>
      <c r="E8" s="103" t="s">
        <v>62</v>
      </c>
      <c r="F8" s="104"/>
      <c r="J8" s="83">
        <v>4</v>
      </c>
      <c r="K8" s="84" t="s">
        <v>124</v>
      </c>
      <c r="L8" s="85"/>
    </row>
    <row r="9" spans="1:13" ht="22.8" thickBot="1">
      <c r="A9" s="120"/>
      <c r="B9" s="79"/>
      <c r="C9" s="79"/>
      <c r="D9" s="99">
        <v>3</v>
      </c>
      <c r="E9" s="105"/>
      <c r="F9" s="106"/>
      <c r="J9" s="86">
        <f>'FRINGE ESTIMATOR'!C15</f>
        <v>0</v>
      </c>
      <c r="K9" s="87" t="s">
        <v>84</v>
      </c>
      <c r="L9" s="88"/>
    </row>
    <row r="10" spans="1:13" ht="22.8" thickBot="1">
      <c r="A10" s="120"/>
      <c r="B10" s="79"/>
      <c r="C10" s="79"/>
      <c r="D10" s="99">
        <v>4</v>
      </c>
      <c r="E10" s="105" t="s">
        <v>63</v>
      </c>
      <c r="F10" s="106"/>
      <c r="J10" s="116"/>
      <c r="K10" s="117"/>
      <c r="L10" s="118"/>
    </row>
    <row r="11" spans="1:13" ht="22.2">
      <c r="A11" s="120"/>
      <c r="B11" s="79"/>
      <c r="C11" s="79"/>
      <c r="D11" s="99">
        <v>5</v>
      </c>
      <c r="E11" s="107" t="s">
        <v>82</v>
      </c>
      <c r="F11" s="108"/>
      <c r="G11" s="108"/>
      <c r="H11" s="109"/>
      <c r="J11" s="89">
        <v>1</v>
      </c>
      <c r="K11" s="90" t="s">
        <v>61</v>
      </c>
      <c r="L11" s="91"/>
    </row>
    <row r="12" spans="1:13" ht="22.8" thickBot="1">
      <c r="A12" s="120"/>
      <c r="B12" s="79"/>
      <c r="C12" s="79"/>
      <c r="D12" s="99">
        <v>6</v>
      </c>
      <c r="E12" s="110" t="s">
        <v>64</v>
      </c>
      <c r="F12" s="111"/>
      <c r="G12" s="111"/>
      <c r="H12" s="112"/>
      <c r="J12" s="92">
        <v>5</v>
      </c>
      <c r="K12" s="93" t="s">
        <v>88</v>
      </c>
      <c r="L12" s="94"/>
    </row>
    <row r="13" spans="1:13" ht="23.4" thickTop="1" thickBot="1">
      <c r="A13" s="120"/>
      <c r="B13" s="79"/>
      <c r="C13" s="79"/>
      <c r="D13" s="99">
        <v>7</v>
      </c>
      <c r="E13" s="113"/>
      <c r="F13" s="114"/>
      <c r="G13" s="114"/>
      <c r="H13" s="115"/>
    </row>
    <row r="14" spans="1:13" ht="22.8" thickBot="1">
      <c r="A14" s="120"/>
      <c r="B14" s="79"/>
      <c r="C14" s="79"/>
      <c r="D14" s="99">
        <v>8</v>
      </c>
      <c r="E14" s="113" t="s">
        <v>59</v>
      </c>
      <c r="F14" s="114"/>
      <c r="G14" s="114"/>
      <c r="H14" s="115"/>
    </row>
    <row r="15" spans="1:13" ht="22.2">
      <c r="A15" s="120"/>
      <c r="B15" s="79"/>
      <c r="C15" s="79"/>
      <c r="D15" s="99">
        <v>9</v>
      </c>
      <c r="E15" s="79"/>
      <c r="J15" s="130" t="s">
        <v>98</v>
      </c>
      <c r="K15" s="131"/>
      <c r="L15" s="131"/>
      <c r="M15" s="132"/>
    </row>
    <row r="16" spans="1:13" ht="22.2">
      <c r="A16" s="120"/>
      <c r="B16" s="79"/>
      <c r="C16" s="79"/>
      <c r="D16" s="99">
        <v>10</v>
      </c>
      <c r="E16" s="79"/>
      <c r="J16" s="133" t="s">
        <v>99</v>
      </c>
      <c r="K16" s="120"/>
      <c r="L16" s="120"/>
      <c r="M16" s="134"/>
    </row>
    <row r="17" spans="1:13" ht="22.2">
      <c r="A17" s="196"/>
      <c r="B17" s="79"/>
      <c r="C17" s="79"/>
      <c r="D17" s="99">
        <v>11</v>
      </c>
      <c r="E17" s="79"/>
      <c r="J17" s="133" t="s">
        <v>100</v>
      </c>
      <c r="K17" s="120"/>
      <c r="L17" s="120"/>
      <c r="M17" s="134"/>
    </row>
    <row r="18" spans="1:13" ht="22.2">
      <c r="A18" s="120"/>
      <c r="B18" s="79"/>
      <c r="C18" s="79"/>
      <c r="D18" s="99">
        <v>12</v>
      </c>
      <c r="E18" s="79"/>
      <c r="J18" s="133" t="s">
        <v>101</v>
      </c>
      <c r="K18" s="120"/>
      <c r="L18" s="120"/>
      <c r="M18" s="134"/>
    </row>
    <row r="19" spans="1:13" ht="22.2">
      <c r="A19" s="120"/>
      <c r="B19" s="79"/>
      <c r="C19" s="79"/>
      <c r="D19" s="99">
        <v>13</v>
      </c>
      <c r="E19" s="79"/>
      <c r="J19" s="133" t="s">
        <v>102</v>
      </c>
      <c r="K19" s="120"/>
      <c r="L19" s="120"/>
      <c r="M19" s="134"/>
    </row>
    <row r="20" spans="1:13" ht="22.2">
      <c r="A20" s="120"/>
      <c r="B20" s="79"/>
      <c r="C20" s="79"/>
      <c r="D20" s="99">
        <v>14</v>
      </c>
      <c r="E20" s="79"/>
      <c r="J20" s="141" t="s">
        <v>105</v>
      </c>
      <c r="K20" s="120"/>
      <c r="L20" s="120"/>
      <c r="M20" s="134"/>
    </row>
    <row r="21" spans="1:13" ht="22.2">
      <c r="A21" s="120"/>
      <c r="B21" s="79"/>
      <c r="C21" s="79"/>
      <c r="D21" s="99">
        <v>15</v>
      </c>
      <c r="E21" s="79"/>
      <c r="J21" s="141" t="s">
        <v>103</v>
      </c>
      <c r="K21" s="120"/>
      <c r="L21" s="120"/>
      <c r="M21" s="134"/>
    </row>
    <row r="22" spans="1:13" ht="22.2">
      <c r="A22" s="120"/>
      <c r="B22" s="79"/>
      <c r="C22" s="79"/>
      <c r="D22" s="99">
        <v>16</v>
      </c>
      <c r="E22" s="79"/>
      <c r="J22" s="141" t="s">
        <v>104</v>
      </c>
      <c r="K22" s="120"/>
      <c r="L22" s="120"/>
      <c r="M22" s="135"/>
    </row>
    <row r="23" spans="1:13" ht="22.2">
      <c r="A23" s="120"/>
      <c r="B23" s="79"/>
      <c r="C23" s="79"/>
      <c r="D23" s="99">
        <v>17</v>
      </c>
      <c r="E23" s="79"/>
      <c r="J23" s="139" t="str">
        <f>IF(AND(J5=2,J8=2),"A",IF(AND(J5=2,J8=4),"B",IF(AND(J5=4,J8=2),"C",IF(AND(J5=4,J8=4),"D",""))))</f>
        <v>B</v>
      </c>
      <c r="K23" s="140"/>
      <c r="L23" s="140"/>
      <c r="M23" s="135"/>
    </row>
    <row r="24" spans="1:13" ht="22.8" thickBot="1">
      <c r="A24" s="120"/>
      <c r="B24" s="79"/>
      <c r="C24" s="79"/>
      <c r="D24" s="99">
        <v>18</v>
      </c>
      <c r="E24" s="79"/>
      <c r="J24" s="136"/>
      <c r="K24" s="137"/>
      <c r="L24" s="137"/>
      <c r="M24" s="138"/>
    </row>
    <row r="25" spans="1:13" ht="22.2">
      <c r="A25" s="120"/>
      <c r="B25" s="79"/>
      <c r="C25" s="79"/>
      <c r="D25" s="99">
        <v>19</v>
      </c>
      <c r="E25" s="79"/>
    </row>
    <row r="26" spans="1:13" ht="22.2">
      <c r="A26" s="120"/>
      <c r="B26" s="79"/>
      <c r="C26" s="79"/>
      <c r="D26" s="99">
        <v>20</v>
      </c>
      <c r="E26" s="79"/>
    </row>
    <row r="27" spans="1:13" ht="22.2">
      <c r="A27" s="120"/>
      <c r="B27" s="79"/>
      <c r="C27" s="79"/>
      <c r="D27" s="99">
        <v>21</v>
      </c>
      <c r="E27" s="79"/>
    </row>
    <row r="28" spans="1:13" ht="22.2">
      <c r="A28" s="120"/>
      <c r="B28" s="79"/>
      <c r="C28" s="79"/>
      <c r="D28" s="99">
        <v>22</v>
      </c>
      <c r="E28" s="79"/>
      <c r="G28" s="144" t="s">
        <v>110</v>
      </c>
      <c r="H28" s="142"/>
      <c r="I28" s="142"/>
      <c r="J28" s="142"/>
      <c r="K28" s="142"/>
      <c r="L28" s="142"/>
    </row>
    <row r="29" spans="1:13" ht="31.8">
      <c r="A29" s="120"/>
      <c r="B29" s="79"/>
      <c r="C29" s="79"/>
      <c r="D29" s="99">
        <v>23</v>
      </c>
      <c r="E29" s="79"/>
      <c r="G29" s="142"/>
      <c r="H29" s="143" t="s">
        <v>107</v>
      </c>
      <c r="I29" s="144" t="s">
        <v>108</v>
      </c>
      <c r="J29" s="144" t="s">
        <v>113</v>
      </c>
      <c r="K29" s="143" t="s">
        <v>114</v>
      </c>
      <c r="L29" s="147" t="s">
        <v>112</v>
      </c>
    </row>
    <row r="30" spans="1:13" ht="22.2">
      <c r="A30" s="120"/>
      <c r="B30" s="79"/>
      <c r="C30" s="79"/>
      <c r="D30" s="99">
        <v>24</v>
      </c>
      <c r="E30" s="79"/>
      <c r="G30" s="142"/>
      <c r="H30" s="145">
        <v>2</v>
      </c>
      <c r="I30" s="146">
        <v>3</v>
      </c>
      <c r="J30" s="142" t="str">
        <f>CONCATENATE(H30,I30)</f>
        <v>23</v>
      </c>
      <c r="K30" s="142" t="str">
        <f>IF(AND(J8=2,J12=3),23,IF(AND(J8=2,J12=5),25,IF(AND(J8=2,J12=7),27,IF(AND(J8=2,J12=9),29,IF(AND(J8=2,J12=11),211,IF(AND(J8=2,J12=13),213,IF(AND(J8=2,J12=15),215,IF(AND(J8=4,J12=19),419,IF(AND(J8=4,J12=21),421,IF(AND(J8=4,J12=23),423,IF(AND(J8=4,J12=25),425,IF(AND(J8=4,J12=27),427,IF(AND(J8=4,J12=29),429,IF(AND(J8=4,J12=31),431,IF(AND(J8=4,J12=33),433,IF(AND(J8=4,J12=35),435,IF(AND(J8=4,J12=37),437,IF(AND(J8=4,J12=39),439,IF(AND(J8=4,J12=41),441,IF(AND(J8=4,J12=43),443,IF(AND(J8=4,J12=45),445,"0")))))))))))))))))))))</f>
        <v>0</v>
      </c>
      <c r="L30" s="142">
        <f>ABS(K30)</f>
        <v>0</v>
      </c>
    </row>
    <row r="31" spans="1:13" ht="22.2">
      <c r="A31" s="120"/>
      <c r="B31" s="79"/>
      <c r="C31" s="79"/>
      <c r="D31" s="99">
        <v>25</v>
      </c>
      <c r="E31" s="79"/>
      <c r="G31" s="142"/>
      <c r="H31" s="145">
        <v>2</v>
      </c>
      <c r="I31" s="146">
        <v>5</v>
      </c>
      <c r="J31" s="142" t="str">
        <f t="shared" ref="J31:J36" si="0">CONCATENATE(H31,I31)</f>
        <v>25</v>
      </c>
      <c r="K31" s="148"/>
      <c r="L31" s="148"/>
    </row>
    <row r="32" spans="1:13" ht="22.2">
      <c r="A32" s="120"/>
      <c r="B32" s="79"/>
      <c r="C32" s="79"/>
      <c r="D32" s="99">
        <v>26</v>
      </c>
      <c r="E32" s="79"/>
      <c r="G32" s="142"/>
      <c r="H32" s="145">
        <v>2</v>
      </c>
      <c r="I32" s="146">
        <v>7</v>
      </c>
      <c r="J32" s="142" t="str">
        <f t="shared" si="0"/>
        <v>27</v>
      </c>
      <c r="K32" s="148"/>
      <c r="L32" s="148"/>
    </row>
    <row r="33" spans="1:12" ht="22.2">
      <c r="A33" s="120"/>
      <c r="B33" s="79"/>
      <c r="C33" s="79"/>
      <c r="D33" s="99">
        <v>27</v>
      </c>
      <c r="E33" s="79"/>
      <c r="G33" s="142"/>
      <c r="H33" s="145">
        <v>2</v>
      </c>
      <c r="I33" s="146">
        <v>9</v>
      </c>
      <c r="J33" s="142" t="str">
        <f t="shared" si="0"/>
        <v>29</v>
      </c>
      <c r="K33" s="148"/>
      <c r="L33" s="148"/>
    </row>
    <row r="34" spans="1:12" ht="22.2">
      <c r="A34" s="120"/>
      <c r="B34" s="79"/>
      <c r="C34" s="79"/>
      <c r="D34" s="99">
        <v>28</v>
      </c>
      <c r="E34" s="79"/>
      <c r="G34" s="142"/>
      <c r="H34" s="145">
        <v>2</v>
      </c>
      <c r="I34" s="146">
        <v>11</v>
      </c>
      <c r="J34" s="142" t="str">
        <f t="shared" si="0"/>
        <v>211</v>
      </c>
      <c r="K34" s="148"/>
      <c r="L34" s="148"/>
    </row>
    <row r="35" spans="1:12" ht="22.2">
      <c r="A35" s="120"/>
      <c r="B35" s="79"/>
      <c r="C35" s="79"/>
      <c r="D35" s="99">
        <v>29</v>
      </c>
      <c r="E35" s="79"/>
      <c r="G35" s="142"/>
      <c r="H35" s="145">
        <v>2</v>
      </c>
      <c r="I35" s="146">
        <v>13</v>
      </c>
      <c r="J35" s="142" t="str">
        <f t="shared" si="0"/>
        <v>213</v>
      </c>
      <c r="K35" s="148"/>
      <c r="L35" s="148"/>
    </row>
    <row r="36" spans="1:12" ht="22.2">
      <c r="A36" s="120"/>
      <c r="B36" s="79"/>
      <c r="C36" s="79"/>
      <c r="D36" s="99">
        <v>30</v>
      </c>
      <c r="E36" s="79"/>
      <c r="G36" s="142"/>
      <c r="H36" s="145">
        <v>2</v>
      </c>
      <c r="I36" s="146">
        <v>15</v>
      </c>
      <c r="J36" s="142" t="str">
        <f t="shared" si="0"/>
        <v>215</v>
      </c>
      <c r="K36" s="148"/>
      <c r="L36" s="148"/>
    </row>
    <row r="37" spans="1:12" ht="22.2">
      <c r="A37" s="120"/>
      <c r="B37" s="79"/>
      <c r="C37" s="79"/>
      <c r="D37" s="99">
        <v>31</v>
      </c>
      <c r="E37" s="79"/>
      <c r="G37" s="142"/>
      <c r="H37" s="145"/>
      <c r="I37" s="146"/>
      <c r="J37" s="142"/>
      <c r="K37" s="148"/>
      <c r="L37" s="148"/>
    </row>
    <row r="38" spans="1:12" ht="22.2">
      <c r="A38" s="120"/>
      <c r="B38" s="79"/>
      <c r="C38" s="79"/>
      <c r="D38" s="99">
        <v>32</v>
      </c>
      <c r="E38" s="79"/>
      <c r="G38" s="142"/>
      <c r="H38" s="145">
        <v>4</v>
      </c>
      <c r="I38" s="146">
        <v>19</v>
      </c>
      <c r="J38" s="142" t="str">
        <f t="shared" ref="J38:J51" si="1">CONCATENATE(H38,I38)</f>
        <v>419</v>
      </c>
      <c r="K38" s="148"/>
      <c r="L38" s="148"/>
    </row>
    <row r="39" spans="1:12" ht="22.2">
      <c r="A39" s="120"/>
      <c r="B39" s="79"/>
      <c r="C39" s="79"/>
      <c r="D39" s="99">
        <v>33</v>
      </c>
      <c r="E39" s="79"/>
      <c r="G39" s="142"/>
      <c r="H39" s="145">
        <v>4</v>
      </c>
      <c r="I39" s="146">
        <v>21</v>
      </c>
      <c r="J39" s="142" t="str">
        <f t="shared" si="1"/>
        <v>421</v>
      </c>
      <c r="K39" s="148"/>
      <c r="L39" s="148"/>
    </row>
    <row r="40" spans="1:12" ht="22.2">
      <c r="A40" s="120"/>
      <c r="B40" s="79"/>
      <c r="C40" s="79"/>
      <c r="D40" s="99">
        <v>34</v>
      </c>
      <c r="E40" s="79"/>
      <c r="G40" s="142"/>
      <c r="H40" s="145">
        <v>4</v>
      </c>
      <c r="I40" s="146">
        <v>23</v>
      </c>
      <c r="J40" s="142" t="str">
        <f t="shared" si="1"/>
        <v>423</v>
      </c>
      <c r="K40" s="148"/>
      <c r="L40" s="148"/>
    </row>
    <row r="41" spans="1:12" ht="22.2">
      <c r="A41" s="120"/>
      <c r="B41" s="79"/>
      <c r="C41" s="79"/>
      <c r="D41" s="99">
        <v>35</v>
      </c>
      <c r="E41" s="79"/>
      <c r="G41" s="142"/>
      <c r="H41" s="145">
        <v>4</v>
      </c>
      <c r="I41" s="146">
        <v>25</v>
      </c>
      <c r="J41" s="142" t="str">
        <f t="shared" si="1"/>
        <v>425</v>
      </c>
      <c r="K41" s="148"/>
      <c r="L41" s="148"/>
    </row>
    <row r="42" spans="1:12" ht="22.2">
      <c r="A42" s="120"/>
      <c r="B42" s="79"/>
      <c r="C42" s="79"/>
      <c r="D42" s="99">
        <v>36</v>
      </c>
      <c r="E42" s="79"/>
      <c r="G42" s="142"/>
      <c r="H42" s="145">
        <v>4</v>
      </c>
      <c r="I42" s="146">
        <v>27</v>
      </c>
      <c r="J42" s="142" t="str">
        <f t="shared" si="1"/>
        <v>427</v>
      </c>
      <c r="K42" s="148"/>
      <c r="L42" s="148"/>
    </row>
    <row r="43" spans="1:12" ht="22.2">
      <c r="A43" s="120"/>
      <c r="B43" s="79"/>
      <c r="C43" s="79"/>
      <c r="D43" s="99">
        <v>37</v>
      </c>
      <c r="E43" s="79"/>
      <c r="G43" s="142"/>
      <c r="H43" s="145">
        <v>4</v>
      </c>
      <c r="I43" s="146">
        <v>29</v>
      </c>
      <c r="J43" s="142" t="str">
        <f t="shared" si="1"/>
        <v>429</v>
      </c>
      <c r="K43" s="148"/>
      <c r="L43" s="148"/>
    </row>
    <row r="44" spans="1:12" ht="22.2">
      <c r="A44" s="120"/>
      <c r="B44" s="79"/>
      <c r="C44" s="79"/>
      <c r="D44" s="99">
        <v>38</v>
      </c>
      <c r="E44" s="79"/>
      <c r="G44" s="142"/>
      <c r="H44" s="145">
        <v>4</v>
      </c>
      <c r="I44" s="146">
        <v>31</v>
      </c>
      <c r="J44" s="142" t="str">
        <f t="shared" si="1"/>
        <v>431</v>
      </c>
      <c r="K44" s="148"/>
      <c r="L44" s="148"/>
    </row>
    <row r="45" spans="1:12" ht="22.2">
      <c r="A45" s="120"/>
      <c r="B45" s="79"/>
      <c r="C45" s="79"/>
      <c r="D45" s="99">
        <v>39</v>
      </c>
      <c r="E45" s="79"/>
      <c r="G45" s="142"/>
      <c r="H45" s="145">
        <v>4</v>
      </c>
      <c r="I45" s="146">
        <v>33</v>
      </c>
      <c r="J45" s="142" t="str">
        <f t="shared" si="1"/>
        <v>433</v>
      </c>
      <c r="K45" s="148"/>
      <c r="L45" s="148"/>
    </row>
    <row r="46" spans="1:12" ht="22.2">
      <c r="A46" s="120"/>
      <c r="B46" s="79"/>
      <c r="C46" s="79"/>
      <c r="D46" s="99">
        <v>40</v>
      </c>
      <c r="E46" s="79"/>
      <c r="G46" s="142"/>
      <c r="H46" s="145">
        <v>4</v>
      </c>
      <c r="I46" s="146">
        <v>35</v>
      </c>
      <c r="J46" s="142" t="str">
        <f t="shared" si="1"/>
        <v>435</v>
      </c>
      <c r="K46" s="148"/>
      <c r="L46" s="148"/>
    </row>
    <row r="47" spans="1:12" ht="22.2">
      <c r="A47" s="120"/>
      <c r="B47" s="79"/>
      <c r="C47" s="79"/>
      <c r="D47" s="99">
        <v>41</v>
      </c>
      <c r="E47" s="79"/>
      <c r="G47" s="142"/>
      <c r="H47" s="145">
        <v>4</v>
      </c>
      <c r="I47" s="146">
        <v>37</v>
      </c>
      <c r="J47" s="142" t="str">
        <f t="shared" si="1"/>
        <v>437</v>
      </c>
      <c r="K47" s="148"/>
      <c r="L47" s="148"/>
    </row>
    <row r="48" spans="1:12" ht="22.2">
      <c r="A48" s="120"/>
      <c r="B48" s="79"/>
      <c r="C48" s="79"/>
      <c r="D48" s="99">
        <v>42</v>
      </c>
      <c r="E48" s="79"/>
      <c r="G48" s="142"/>
      <c r="H48" s="145">
        <v>4</v>
      </c>
      <c r="I48" s="146">
        <v>39</v>
      </c>
      <c r="J48" s="142" t="str">
        <f t="shared" si="1"/>
        <v>439</v>
      </c>
      <c r="K48" s="148"/>
      <c r="L48" s="148"/>
    </row>
    <row r="49" spans="1:12" ht="22.2">
      <c r="A49" s="120"/>
      <c r="B49" s="79"/>
      <c r="C49" s="79"/>
      <c r="D49" s="99">
        <v>43</v>
      </c>
      <c r="E49" s="79"/>
      <c r="G49" s="142"/>
      <c r="H49" s="145">
        <v>4</v>
      </c>
      <c r="I49" s="146">
        <v>41</v>
      </c>
      <c r="J49" s="142" t="str">
        <f t="shared" si="1"/>
        <v>441</v>
      </c>
      <c r="K49" s="148"/>
      <c r="L49" s="148"/>
    </row>
    <row r="50" spans="1:12" ht="22.2">
      <c r="A50" s="120"/>
      <c r="B50" s="79"/>
      <c r="C50" s="79"/>
      <c r="D50" s="99">
        <v>44</v>
      </c>
      <c r="E50" s="79"/>
      <c r="G50" s="142"/>
      <c r="H50" s="145">
        <v>4</v>
      </c>
      <c r="I50" s="146">
        <v>43</v>
      </c>
      <c r="J50" s="142" t="str">
        <f t="shared" si="1"/>
        <v>443</v>
      </c>
      <c r="K50" s="148"/>
      <c r="L50" s="148"/>
    </row>
    <row r="51" spans="1:12" ht="22.2">
      <c r="A51" s="120"/>
      <c r="B51" s="79"/>
      <c r="C51" s="79"/>
      <c r="D51" s="99">
        <v>45</v>
      </c>
      <c r="E51" s="79"/>
      <c r="G51" s="142"/>
      <c r="H51" s="145">
        <v>4</v>
      </c>
      <c r="I51" s="146">
        <v>45</v>
      </c>
      <c r="J51" s="142" t="str">
        <f t="shared" si="1"/>
        <v>445</v>
      </c>
      <c r="K51" s="148"/>
      <c r="L51" s="148"/>
    </row>
    <row r="52" spans="1:12" ht="22.2">
      <c r="A52" s="120"/>
      <c r="B52" s="79"/>
      <c r="C52" s="79"/>
      <c r="D52" s="99">
        <v>46</v>
      </c>
      <c r="E52" s="79"/>
      <c r="G52" s="142"/>
      <c r="H52" s="142"/>
      <c r="I52" s="142"/>
      <c r="J52" s="142"/>
      <c r="K52" s="148"/>
      <c r="L52" s="148"/>
    </row>
    <row r="53" spans="1:12" ht="22.2">
      <c r="A53" s="120"/>
      <c r="B53" s="79"/>
      <c r="C53" s="79"/>
      <c r="D53" s="99">
        <v>47</v>
      </c>
      <c r="E53" s="79"/>
    </row>
    <row r="54" spans="1:12" ht="22.2">
      <c r="A54" s="120"/>
      <c r="B54" s="79"/>
      <c r="C54" s="79"/>
      <c r="D54" s="99">
        <v>48</v>
      </c>
      <c r="E54" s="79"/>
    </row>
    <row r="55" spans="1:12" ht="22.2">
      <c r="A55" s="120"/>
      <c r="B55" s="79"/>
      <c r="C55" s="79"/>
      <c r="D55" s="99">
        <v>49</v>
      </c>
      <c r="E55" s="79"/>
    </row>
    <row r="56" spans="1:12" ht="22.2">
      <c r="A56" s="120"/>
      <c r="B56" s="79"/>
      <c r="C56" s="79"/>
      <c r="D56" s="99">
        <v>50</v>
      </c>
      <c r="E56" s="79"/>
    </row>
    <row r="57" spans="1:12" ht="22.2">
      <c r="A57" s="120"/>
      <c r="B57" s="79"/>
      <c r="C57" s="79"/>
      <c r="D57" s="99">
        <v>51</v>
      </c>
      <c r="E57" s="79"/>
    </row>
    <row r="58" spans="1:12" ht="22.2">
      <c r="A58" s="120"/>
      <c r="B58" s="79"/>
      <c r="C58" s="79"/>
      <c r="D58" s="99">
        <v>52</v>
      </c>
      <c r="E58" s="79"/>
    </row>
    <row r="59" spans="1:12" ht="22.2">
      <c r="A59" s="120"/>
      <c r="B59" s="79"/>
      <c r="C59" s="79"/>
      <c r="D59" s="99">
        <v>53</v>
      </c>
      <c r="E59" s="79"/>
    </row>
    <row r="60" spans="1:12" ht="22.2">
      <c r="A60" s="120"/>
      <c r="B60" s="79"/>
      <c r="C60" s="79"/>
      <c r="D60" s="99">
        <v>54</v>
      </c>
      <c r="E60" s="79"/>
    </row>
    <row r="61" spans="1:12" ht="22.2">
      <c r="A61" s="120"/>
      <c r="B61" s="79"/>
      <c r="C61" s="79"/>
      <c r="D61" s="99">
        <v>55</v>
      </c>
      <c r="E61" s="79"/>
    </row>
    <row r="62" spans="1:12" ht="22.2">
      <c r="A62" s="120"/>
      <c r="B62" s="79"/>
      <c r="C62" s="79"/>
      <c r="D62" s="99">
        <v>56</v>
      </c>
      <c r="E62" s="79"/>
    </row>
    <row r="63" spans="1:12" ht="22.2">
      <c r="A63" s="120"/>
      <c r="B63" s="79"/>
      <c r="C63" s="79"/>
      <c r="D63" s="99">
        <v>57</v>
      </c>
      <c r="E63" s="79"/>
    </row>
    <row r="64" spans="1:12" ht="22.2">
      <c r="A64" s="120"/>
      <c r="B64" s="79"/>
      <c r="C64" s="79"/>
      <c r="D64" s="99">
        <v>58</v>
      </c>
      <c r="E64" s="79"/>
    </row>
    <row r="65" spans="1:5" ht="22.2">
      <c r="A65" s="120"/>
      <c r="B65" s="79"/>
      <c r="C65" s="79"/>
      <c r="D65" s="99">
        <v>59</v>
      </c>
      <c r="E65" s="79"/>
    </row>
    <row r="66" spans="1:5" ht="22.2">
      <c r="A66" s="120"/>
      <c r="B66" s="79"/>
      <c r="C66" s="79"/>
      <c r="D66" s="99">
        <v>60</v>
      </c>
      <c r="E66" s="79"/>
    </row>
    <row r="67" spans="1:5" ht="22.2">
      <c r="A67" s="120"/>
      <c r="B67" s="79"/>
      <c r="C67" s="79"/>
      <c r="D67" s="99">
        <v>61</v>
      </c>
      <c r="E67" s="79"/>
    </row>
    <row r="68" spans="1:5" ht="22.2">
      <c r="A68" s="120"/>
      <c r="B68" s="79"/>
      <c r="C68" s="79"/>
      <c r="D68" s="99">
        <v>62</v>
      </c>
      <c r="E68" s="79"/>
    </row>
    <row r="69" spans="1:5" ht="22.2">
      <c r="A69" s="120"/>
      <c r="B69" s="79"/>
      <c r="C69" s="79"/>
      <c r="D69" s="99">
        <v>63</v>
      </c>
      <c r="E69" s="79"/>
    </row>
    <row r="70" spans="1:5" ht="22.2">
      <c r="A70" s="120"/>
      <c r="B70" s="79"/>
      <c r="C70" s="79"/>
      <c r="D70" s="99">
        <v>64</v>
      </c>
      <c r="E70" s="79"/>
    </row>
    <row r="71" spans="1:5" ht="22.2">
      <c r="A71" s="120"/>
      <c r="B71" s="79"/>
      <c r="C71" s="79"/>
      <c r="D71" s="99">
        <v>65</v>
      </c>
      <c r="E71" s="79"/>
    </row>
    <row r="72" spans="1:5" ht="22.2">
      <c r="A72" s="120"/>
      <c r="B72" s="79"/>
      <c r="C72" s="79"/>
      <c r="D72" s="99">
        <v>66</v>
      </c>
      <c r="E72" s="79"/>
    </row>
    <row r="73" spans="1:5" ht="22.2">
      <c r="A73" s="120"/>
      <c r="B73" s="79"/>
      <c r="C73" s="79"/>
      <c r="D73" s="99">
        <v>67</v>
      </c>
      <c r="E73" s="79"/>
    </row>
    <row r="74" spans="1:5" ht="22.2">
      <c r="A74" s="120"/>
      <c r="B74" s="79"/>
      <c r="C74" s="79"/>
      <c r="D74" s="99">
        <v>68</v>
      </c>
      <c r="E74" s="79"/>
    </row>
    <row r="75" spans="1:5" ht="22.2">
      <c r="A75" s="120"/>
      <c r="B75" s="79"/>
      <c r="C75" s="79"/>
      <c r="D75" s="99">
        <v>69</v>
      </c>
      <c r="E75" s="79"/>
    </row>
    <row r="76" spans="1:5" ht="22.2">
      <c r="A76" s="120"/>
      <c r="B76" s="79"/>
      <c r="C76" s="79"/>
      <c r="D76" s="99">
        <v>70</v>
      </c>
      <c r="E76" s="79"/>
    </row>
    <row r="77" spans="1:5" ht="22.2">
      <c r="A77" s="120"/>
      <c r="B77" s="79"/>
      <c r="C77" s="79"/>
      <c r="D77" s="99">
        <v>71</v>
      </c>
      <c r="E77" s="79"/>
    </row>
    <row r="78" spans="1:5" ht="22.2">
      <c r="A78" s="120"/>
      <c r="B78" s="79"/>
      <c r="C78" s="79"/>
      <c r="D78" s="99">
        <v>72</v>
      </c>
      <c r="E78" s="79"/>
    </row>
    <row r="79" spans="1:5" ht="22.2">
      <c r="A79" s="120"/>
      <c r="B79" s="79"/>
      <c r="C79" s="79"/>
      <c r="D79" s="99">
        <v>73</v>
      </c>
      <c r="E79" s="79"/>
    </row>
    <row r="80" spans="1:5" ht="22.2">
      <c r="A80" s="120"/>
      <c r="B80" s="79"/>
      <c r="C80" s="79"/>
      <c r="D80" s="99">
        <v>74</v>
      </c>
      <c r="E80" s="79"/>
    </row>
    <row r="81" spans="1:5" ht="22.2">
      <c r="A81" s="120"/>
      <c r="B81" s="79"/>
      <c r="C81" s="79"/>
      <c r="D81" s="99">
        <v>75</v>
      </c>
      <c r="E81" s="79"/>
    </row>
    <row r="82" spans="1:5" ht="22.2">
      <c r="A82" s="120"/>
      <c r="B82" s="79"/>
      <c r="C82" s="79"/>
      <c r="D82" s="99">
        <v>76</v>
      </c>
      <c r="E82" s="79"/>
    </row>
    <row r="83" spans="1:5" ht="22.2">
      <c r="A83" s="120"/>
      <c r="B83" s="79"/>
      <c r="C83" s="79"/>
      <c r="D83" s="99">
        <v>77</v>
      </c>
      <c r="E83" s="79"/>
    </row>
    <row r="84" spans="1:5" ht="22.2">
      <c r="A84" s="120"/>
      <c r="B84" s="79"/>
      <c r="C84" s="79"/>
      <c r="D84" s="99">
        <v>78</v>
      </c>
      <c r="E84" s="79"/>
    </row>
    <row r="85" spans="1:5" ht="22.2">
      <c r="A85" s="120"/>
      <c r="B85" s="79"/>
      <c r="C85" s="79"/>
      <c r="D85" s="99">
        <v>79</v>
      </c>
      <c r="E85" s="79"/>
    </row>
    <row r="86" spans="1:5" ht="22.2">
      <c r="A86" s="120"/>
      <c r="B86" s="79"/>
      <c r="C86" s="79"/>
      <c r="D86" s="99">
        <v>80</v>
      </c>
      <c r="E86" s="79"/>
    </row>
    <row r="87" spans="1:5" ht="22.2">
      <c r="A87" s="120"/>
      <c r="B87" s="79"/>
      <c r="C87" s="79"/>
      <c r="D87" s="99">
        <v>81</v>
      </c>
      <c r="E87" s="79"/>
    </row>
    <row r="88" spans="1:5" ht="22.2">
      <c r="A88" s="120"/>
      <c r="B88" s="79"/>
      <c r="C88" s="79"/>
      <c r="D88" s="99">
        <v>82</v>
      </c>
      <c r="E88" s="79"/>
    </row>
    <row r="89" spans="1:5" ht="22.2">
      <c r="A89" s="120"/>
      <c r="B89" s="79"/>
      <c r="C89" s="79"/>
      <c r="D89" s="99">
        <v>83</v>
      </c>
      <c r="E89" s="79"/>
    </row>
    <row r="90" spans="1:5" ht="22.2">
      <c r="A90" s="120"/>
      <c r="B90" s="79"/>
      <c r="C90" s="79"/>
      <c r="D90" s="99">
        <v>84</v>
      </c>
      <c r="E90" s="79"/>
    </row>
    <row r="91" spans="1:5" ht="22.2">
      <c r="A91" s="120"/>
      <c r="B91" s="79"/>
      <c r="C91" s="79"/>
      <c r="D91" s="99">
        <v>85</v>
      </c>
      <c r="E91" s="79"/>
    </row>
    <row r="92" spans="1:5" ht="22.2">
      <c r="A92" s="120"/>
      <c r="B92" s="79"/>
      <c r="C92" s="79"/>
      <c r="D92" s="99">
        <v>86</v>
      </c>
      <c r="E92" s="79"/>
    </row>
    <row r="93" spans="1:5" ht="22.2">
      <c r="A93" s="120"/>
      <c r="B93" s="79"/>
      <c r="C93" s="79"/>
      <c r="D93" s="99">
        <v>87</v>
      </c>
      <c r="E93" s="79"/>
    </row>
    <row r="94" spans="1:5" ht="22.2">
      <c r="A94" s="120"/>
      <c r="B94" s="79"/>
      <c r="C94" s="79"/>
      <c r="D94" s="99">
        <v>88</v>
      </c>
      <c r="E94" s="79"/>
    </row>
    <row r="95" spans="1:5" ht="22.2">
      <c r="A95" s="120"/>
      <c r="B95" s="79"/>
      <c r="C95" s="79"/>
      <c r="D95" s="99">
        <v>89</v>
      </c>
      <c r="E95" s="79"/>
    </row>
    <row r="96" spans="1:5" ht="22.2">
      <c r="A96" s="120"/>
      <c r="B96" s="79"/>
      <c r="C96" s="79"/>
      <c r="D96" s="99">
        <v>90</v>
      </c>
      <c r="E96" s="79"/>
    </row>
    <row r="97" spans="1:5" ht="22.2">
      <c r="A97" s="120"/>
      <c r="B97" s="79"/>
      <c r="C97" s="79"/>
      <c r="D97" s="99">
        <v>91</v>
      </c>
      <c r="E97" s="79"/>
    </row>
    <row r="98" spans="1:5" ht="22.2">
      <c r="A98" s="120"/>
      <c r="B98" s="79"/>
      <c r="C98" s="79"/>
      <c r="D98" s="99">
        <v>92</v>
      </c>
      <c r="E98" s="79"/>
    </row>
    <row r="99" spans="1:5" ht="22.2">
      <c r="A99" s="120"/>
      <c r="B99" s="79"/>
      <c r="C99" s="79"/>
      <c r="D99" s="99">
        <v>93</v>
      </c>
      <c r="E99" s="79"/>
    </row>
    <row r="100" spans="1:5" ht="22.2">
      <c r="A100" s="120"/>
      <c r="B100" s="79"/>
      <c r="C100" s="79"/>
      <c r="D100" s="99">
        <v>94</v>
      </c>
      <c r="E100" s="79"/>
    </row>
    <row r="101" spans="1:5" ht="22.2">
      <c r="A101" s="120"/>
      <c r="B101" s="79"/>
      <c r="C101" s="79"/>
      <c r="D101" s="99">
        <v>95</v>
      </c>
      <c r="E101" s="79"/>
    </row>
    <row r="102" spans="1:5" ht="22.2">
      <c r="A102" s="120"/>
      <c r="B102" s="79"/>
      <c r="C102" s="79"/>
      <c r="D102" s="99">
        <v>96</v>
      </c>
      <c r="E102" s="79"/>
    </row>
    <row r="103" spans="1:5" ht="22.2">
      <c r="A103" s="120"/>
      <c r="B103" s="79"/>
      <c r="C103" s="79"/>
      <c r="D103" s="99">
        <v>97</v>
      </c>
      <c r="E103" s="79"/>
    </row>
    <row r="104" spans="1:5" ht="22.2">
      <c r="A104" s="120"/>
      <c r="B104" s="79"/>
      <c r="C104" s="79"/>
      <c r="D104" s="99">
        <v>98</v>
      </c>
      <c r="E104" s="79"/>
    </row>
    <row r="105" spans="1:5" ht="22.2">
      <c r="A105" s="120"/>
      <c r="B105" s="79"/>
      <c r="C105" s="79"/>
      <c r="D105" s="99">
        <v>99</v>
      </c>
      <c r="E105" s="79"/>
    </row>
    <row r="106" spans="1:5" ht="22.2">
      <c r="A106" s="120"/>
      <c r="B106" s="79"/>
      <c r="C106" s="79"/>
      <c r="D106" s="99">
        <v>100</v>
      </c>
      <c r="E106" s="79"/>
    </row>
    <row r="107" spans="1:5" ht="22.2">
      <c r="A107" s="120"/>
      <c r="B107" s="79"/>
      <c r="C107" s="79"/>
      <c r="D107" s="99">
        <v>101</v>
      </c>
      <c r="E107" s="79"/>
    </row>
    <row r="108" spans="1:5" ht="22.2">
      <c r="A108" s="120"/>
      <c r="B108" s="79"/>
      <c r="C108" s="79"/>
      <c r="D108" s="99">
        <v>102</v>
      </c>
      <c r="E108" s="79"/>
    </row>
    <row r="109" spans="1:5" ht="22.2">
      <c r="A109" s="120"/>
      <c r="B109" s="79"/>
      <c r="C109" s="79"/>
      <c r="D109" s="99">
        <v>103</v>
      </c>
      <c r="E109" s="79"/>
    </row>
    <row r="110" spans="1:5" ht="22.2">
      <c r="A110" s="120"/>
      <c r="B110" s="79"/>
      <c r="C110" s="79"/>
      <c r="D110" s="99">
        <v>104</v>
      </c>
      <c r="E110" s="79"/>
    </row>
    <row r="111" spans="1:5" ht="22.2">
      <c r="A111" s="120"/>
      <c r="B111" s="79"/>
      <c r="C111" s="79"/>
      <c r="D111" s="99">
        <v>105</v>
      </c>
      <c r="E111" s="79"/>
    </row>
    <row r="112" spans="1:5" ht="22.2">
      <c r="A112" s="120"/>
      <c r="B112" s="79"/>
      <c r="C112" s="79"/>
      <c r="D112" s="99">
        <v>106</v>
      </c>
      <c r="E112" s="79"/>
    </row>
    <row r="113" spans="1:5" ht="22.2">
      <c r="A113" s="120"/>
      <c r="B113" s="79"/>
      <c r="C113" s="79"/>
      <c r="D113" s="99">
        <v>107</v>
      </c>
      <c r="E113" s="79"/>
    </row>
    <row r="114" spans="1:5" ht="22.2">
      <c r="A114" s="120"/>
      <c r="B114" s="79"/>
      <c r="C114" s="79"/>
      <c r="D114" s="99">
        <v>108</v>
      </c>
      <c r="E114" s="79"/>
    </row>
    <row r="115" spans="1:5" ht="22.2">
      <c r="A115" s="120"/>
      <c r="B115" s="79"/>
      <c r="C115" s="79"/>
      <c r="D115" s="99">
        <v>109</v>
      </c>
      <c r="E115" s="79"/>
    </row>
    <row r="116" spans="1:5" ht="22.2">
      <c r="A116" s="120"/>
      <c r="B116" s="79"/>
      <c r="C116" s="79"/>
      <c r="D116" s="99">
        <v>110</v>
      </c>
      <c r="E116" s="79"/>
    </row>
    <row r="117" spans="1:5" ht="22.2">
      <c r="A117" s="120"/>
      <c r="B117" s="79"/>
      <c r="C117" s="79"/>
      <c r="D117" s="99">
        <v>111</v>
      </c>
      <c r="E117" s="79"/>
    </row>
    <row r="118" spans="1:5" ht="22.2">
      <c r="A118" s="120"/>
      <c r="B118" s="79"/>
      <c r="C118" s="79"/>
      <c r="D118" s="99">
        <v>112</v>
      </c>
      <c r="E118" s="79"/>
    </row>
    <row r="119" spans="1:5" ht="22.2">
      <c r="A119" s="120"/>
      <c r="B119" s="79"/>
      <c r="C119" s="79"/>
      <c r="D119" s="99">
        <v>113</v>
      </c>
      <c r="E119" s="79"/>
    </row>
    <row r="120" spans="1:5" ht="22.2">
      <c r="A120" s="120"/>
      <c r="B120" s="79"/>
      <c r="C120" s="79"/>
      <c r="D120" s="99">
        <v>114</v>
      </c>
      <c r="E120" s="79"/>
    </row>
    <row r="121" spans="1:5" ht="22.2">
      <c r="A121" s="120"/>
      <c r="B121" s="79"/>
      <c r="C121" s="79"/>
      <c r="D121" s="99">
        <v>115</v>
      </c>
      <c r="E121" s="79"/>
    </row>
    <row r="122" spans="1:5" ht="22.2">
      <c r="A122" s="120"/>
      <c r="B122" s="79"/>
      <c r="C122" s="79"/>
      <c r="D122" s="99">
        <v>116</v>
      </c>
      <c r="E122" s="79"/>
    </row>
    <row r="123" spans="1:5" ht="22.2">
      <c r="A123" s="120"/>
      <c r="B123" s="79"/>
      <c r="C123" s="79"/>
      <c r="D123" s="99">
        <v>117</v>
      </c>
      <c r="E123" s="79"/>
    </row>
    <row r="124" spans="1:5" ht="22.2">
      <c r="A124" s="120"/>
      <c r="B124" s="79"/>
      <c r="C124" s="79"/>
      <c r="D124" s="99">
        <v>118</v>
      </c>
      <c r="E124" s="79"/>
    </row>
    <row r="125" spans="1:5" ht="22.2">
      <c r="A125" s="120"/>
      <c r="B125" s="79"/>
      <c r="C125" s="79"/>
      <c r="D125" s="99">
        <v>119</v>
      </c>
      <c r="E125" s="79"/>
    </row>
    <row r="126" spans="1:5" ht="22.2">
      <c r="A126" s="120"/>
      <c r="B126" s="79"/>
      <c r="C126" s="79"/>
      <c r="D126" s="99">
        <v>120</v>
      </c>
      <c r="E126" s="79"/>
    </row>
    <row r="127" spans="1:5" ht="22.2">
      <c r="A127" s="120"/>
      <c r="B127" s="79"/>
      <c r="C127" s="79"/>
      <c r="D127" s="99">
        <v>121</v>
      </c>
      <c r="E127" s="79"/>
    </row>
    <row r="128" spans="1:5" ht="22.2">
      <c r="A128" s="120"/>
      <c r="B128" s="79"/>
      <c r="C128" s="79"/>
      <c r="D128" s="99">
        <v>122</v>
      </c>
      <c r="E128" s="79"/>
    </row>
    <row r="129" spans="1:5" ht="22.2">
      <c r="A129" s="120"/>
      <c r="B129" s="79"/>
      <c r="C129" s="79"/>
      <c r="D129" s="99">
        <v>123</v>
      </c>
      <c r="E129" s="79"/>
    </row>
    <row r="130" spans="1:5" ht="22.2">
      <c r="A130" s="120"/>
      <c r="B130" s="79"/>
      <c r="C130" s="79"/>
      <c r="D130" s="99">
        <v>124</v>
      </c>
      <c r="E130" s="79"/>
    </row>
    <row r="131" spans="1:5" ht="22.2">
      <c r="A131" s="120"/>
      <c r="B131" s="79"/>
      <c r="C131" s="79"/>
      <c r="D131" s="99">
        <v>125</v>
      </c>
      <c r="E131" s="79"/>
    </row>
    <row r="132" spans="1:5" ht="22.2">
      <c r="A132" s="120"/>
      <c r="B132" s="79"/>
      <c r="C132" s="79"/>
      <c r="D132" s="99">
        <v>126</v>
      </c>
      <c r="E132" s="79"/>
    </row>
    <row r="133" spans="1:5" ht="22.2">
      <c r="A133" s="120"/>
      <c r="B133" s="79"/>
      <c r="C133" s="79"/>
      <c r="D133" s="99">
        <v>127</v>
      </c>
      <c r="E133" s="79"/>
    </row>
    <row r="134" spans="1:5" ht="22.2">
      <c r="A134" s="120"/>
      <c r="B134" s="79"/>
      <c r="C134" s="79"/>
      <c r="D134" s="99">
        <v>128</v>
      </c>
      <c r="E134" s="79"/>
    </row>
    <row r="135" spans="1:5" ht="22.2">
      <c r="A135" s="120"/>
      <c r="B135" s="79"/>
      <c r="C135" s="79"/>
      <c r="D135" s="99">
        <v>129</v>
      </c>
      <c r="E135" s="79"/>
    </row>
    <row r="136" spans="1:5" ht="22.2">
      <c r="A136" s="120"/>
      <c r="B136" s="79"/>
      <c r="C136" s="79"/>
      <c r="D136" s="99">
        <v>130</v>
      </c>
      <c r="E136" s="79"/>
    </row>
    <row r="137" spans="1:5" ht="22.2">
      <c r="A137" s="120"/>
      <c r="B137" s="79"/>
      <c r="C137" s="79"/>
      <c r="D137" s="99">
        <v>131</v>
      </c>
      <c r="E137" s="79"/>
    </row>
    <row r="138" spans="1:5" ht="22.2">
      <c r="A138" s="120"/>
      <c r="B138" s="79"/>
      <c r="C138" s="79"/>
      <c r="D138" s="99">
        <v>132</v>
      </c>
      <c r="E138" s="79"/>
    </row>
    <row r="139" spans="1:5" ht="22.2">
      <c r="A139" s="120"/>
      <c r="B139" s="79"/>
      <c r="C139" s="79"/>
      <c r="D139" s="99">
        <v>133</v>
      </c>
      <c r="E139" s="79"/>
    </row>
    <row r="140" spans="1:5" ht="22.2">
      <c r="A140" s="120"/>
      <c r="B140" s="79"/>
      <c r="C140" s="79"/>
      <c r="D140" s="99">
        <v>134</v>
      </c>
      <c r="E140" s="79"/>
    </row>
    <row r="141" spans="1:5" ht="22.2">
      <c r="A141" s="120"/>
      <c r="B141" s="79"/>
      <c r="C141" s="79"/>
      <c r="D141" s="99">
        <v>135</v>
      </c>
      <c r="E141" s="79"/>
    </row>
    <row r="142" spans="1:5" ht="22.2">
      <c r="A142" s="120"/>
      <c r="B142" s="79"/>
      <c r="C142" s="79"/>
      <c r="D142" s="99">
        <v>136</v>
      </c>
      <c r="E142" s="79"/>
    </row>
    <row r="143" spans="1:5" ht="22.2">
      <c r="A143" s="120"/>
      <c r="B143" s="79"/>
      <c r="C143" s="79"/>
      <c r="D143" s="99">
        <v>137</v>
      </c>
      <c r="E143" s="79"/>
    </row>
    <row r="144" spans="1:5" ht="22.2">
      <c r="A144" s="120"/>
      <c r="B144" s="79"/>
      <c r="C144" s="79"/>
      <c r="D144" s="99">
        <v>138</v>
      </c>
      <c r="E144" s="79"/>
    </row>
    <row r="145" spans="1:5" ht="22.2">
      <c r="A145" s="120"/>
      <c r="B145" s="79"/>
      <c r="C145" s="79"/>
      <c r="D145" s="99">
        <v>139</v>
      </c>
      <c r="E145" s="79"/>
    </row>
    <row r="146" spans="1:5" ht="22.2">
      <c r="A146" s="120"/>
      <c r="B146" s="79"/>
      <c r="C146" s="79"/>
      <c r="D146" s="99">
        <v>140</v>
      </c>
      <c r="E146" s="79"/>
    </row>
    <row r="147" spans="1:5" ht="22.2">
      <c r="A147" s="120"/>
      <c r="B147" s="79"/>
      <c r="C147" s="79"/>
      <c r="D147" s="99">
        <v>141</v>
      </c>
      <c r="E147" s="79"/>
    </row>
    <row r="148" spans="1:5" ht="22.2">
      <c r="A148" s="120"/>
      <c r="B148" s="79"/>
      <c r="C148" s="79"/>
      <c r="D148" s="99">
        <v>142</v>
      </c>
      <c r="E148" s="79"/>
    </row>
    <row r="149" spans="1:5" ht="22.2">
      <c r="A149" s="120"/>
      <c r="B149" s="79"/>
      <c r="C149" s="79"/>
      <c r="D149" s="99">
        <v>143</v>
      </c>
      <c r="E149" s="79"/>
    </row>
    <row r="150" spans="1:5" ht="22.2">
      <c r="A150" s="120"/>
      <c r="B150" s="79"/>
      <c r="C150" s="79"/>
      <c r="D150" s="99">
        <v>144</v>
      </c>
      <c r="E150" s="79"/>
    </row>
    <row r="151" spans="1:5" ht="22.2">
      <c r="A151" s="120"/>
      <c r="B151" s="79"/>
      <c r="C151" s="79"/>
      <c r="D151" s="99">
        <v>145</v>
      </c>
      <c r="E151" s="79"/>
    </row>
    <row r="152" spans="1:5" ht="22.2">
      <c r="A152" s="120"/>
      <c r="B152" s="79"/>
      <c r="C152" s="79"/>
      <c r="D152" s="99">
        <v>146</v>
      </c>
      <c r="E152" s="79"/>
    </row>
    <row r="153" spans="1:5" ht="22.2">
      <c r="A153" s="120"/>
      <c r="B153" s="79"/>
      <c r="C153" s="79"/>
      <c r="D153" s="99">
        <v>147</v>
      </c>
      <c r="E153" s="79"/>
    </row>
    <row r="154" spans="1:5" ht="22.2">
      <c r="A154" s="120"/>
      <c r="B154" s="79"/>
      <c r="C154" s="79"/>
      <c r="D154" s="99">
        <v>148</v>
      </c>
      <c r="E154" s="79"/>
    </row>
    <row r="155" spans="1:5" ht="22.2">
      <c r="A155" s="120"/>
      <c r="B155" s="79"/>
      <c r="C155" s="79"/>
      <c r="D155" s="99">
        <v>149</v>
      </c>
      <c r="E155" s="79"/>
    </row>
    <row r="156" spans="1:5" ht="22.2">
      <c r="A156" s="120"/>
      <c r="B156" s="79"/>
      <c r="C156" s="79"/>
      <c r="D156" s="99">
        <v>150</v>
      </c>
      <c r="E156" s="79"/>
    </row>
    <row r="157" spans="1:5" ht="22.2">
      <c r="A157" s="120"/>
      <c r="B157" s="79"/>
      <c r="C157" s="79"/>
      <c r="D157" s="99">
        <v>151</v>
      </c>
      <c r="E157" s="79"/>
    </row>
    <row r="158" spans="1:5" ht="22.2">
      <c r="A158" s="120"/>
      <c r="B158" s="79"/>
      <c r="C158" s="79"/>
      <c r="D158" s="99">
        <v>152</v>
      </c>
      <c r="E158" s="79"/>
    </row>
    <row r="159" spans="1:5" ht="22.2">
      <c r="A159" s="120"/>
      <c r="B159" s="79"/>
      <c r="C159" s="79"/>
      <c r="D159" s="99">
        <v>153</v>
      </c>
      <c r="E159" s="79"/>
    </row>
    <row r="160" spans="1:5" ht="22.2">
      <c r="A160" s="120"/>
      <c r="B160" s="79"/>
      <c r="C160" s="79"/>
      <c r="D160" s="99">
        <v>154</v>
      </c>
      <c r="E160" s="79"/>
    </row>
    <row r="161" spans="1:5" ht="22.2">
      <c r="A161" s="120"/>
      <c r="B161" s="79"/>
      <c r="C161" s="79"/>
      <c r="D161" s="99">
        <v>155</v>
      </c>
      <c r="E161" s="79"/>
    </row>
    <row r="162" spans="1:5" ht="22.2">
      <c r="A162" s="120"/>
      <c r="B162" s="79"/>
      <c r="C162" s="79"/>
      <c r="D162" s="99">
        <v>156</v>
      </c>
      <c r="E162" s="79"/>
    </row>
    <row r="163" spans="1:5" ht="22.2">
      <c r="A163" s="120"/>
      <c r="B163" s="79"/>
      <c r="C163" s="79"/>
      <c r="D163" s="99">
        <v>157</v>
      </c>
      <c r="E163" s="79"/>
    </row>
    <row r="164" spans="1:5" ht="22.2">
      <c r="A164" s="120"/>
      <c r="B164" s="79"/>
      <c r="C164" s="79"/>
      <c r="D164" s="99">
        <v>158</v>
      </c>
      <c r="E164" s="79"/>
    </row>
    <row r="165" spans="1:5" ht="22.2">
      <c r="A165" s="120"/>
      <c r="B165" s="79"/>
      <c r="C165" s="79"/>
      <c r="D165" s="99">
        <v>159</v>
      </c>
      <c r="E165" s="79"/>
    </row>
    <row r="166" spans="1:5" ht="22.2">
      <c r="A166" s="120"/>
      <c r="B166" s="79"/>
      <c r="C166" s="79"/>
      <c r="D166" s="99">
        <v>160</v>
      </c>
      <c r="E166" s="79"/>
    </row>
    <row r="167" spans="1:5" ht="22.2">
      <c r="A167" s="120"/>
      <c r="B167" s="79"/>
      <c r="C167" s="79"/>
      <c r="D167" s="99">
        <v>161</v>
      </c>
      <c r="E167" s="79"/>
    </row>
    <row r="168" spans="1:5" ht="22.2">
      <c r="A168" s="120"/>
      <c r="B168" s="79"/>
      <c r="C168" s="79"/>
      <c r="D168" s="99">
        <v>162</v>
      </c>
      <c r="E168" s="79"/>
    </row>
    <row r="169" spans="1:5" ht="22.2">
      <c r="A169" s="120"/>
      <c r="B169" s="79"/>
      <c r="C169" s="79"/>
      <c r="D169" s="99">
        <v>163</v>
      </c>
      <c r="E169" s="79"/>
    </row>
    <row r="170" spans="1:5" ht="22.2">
      <c r="A170" s="120"/>
      <c r="B170" s="79"/>
      <c r="C170" s="79"/>
      <c r="D170" s="99">
        <v>164</v>
      </c>
      <c r="E170" s="79"/>
    </row>
    <row r="171" spans="1:5" ht="22.2">
      <c r="A171" s="120"/>
      <c r="B171" s="79"/>
      <c r="C171" s="79"/>
      <c r="D171" s="99">
        <v>165</v>
      </c>
      <c r="E171" s="79"/>
    </row>
    <row r="172" spans="1:5" ht="22.2">
      <c r="A172" s="120"/>
      <c r="B172" s="79"/>
      <c r="C172" s="79"/>
      <c r="D172" s="99">
        <v>166</v>
      </c>
      <c r="E172" s="79"/>
    </row>
    <row r="173" spans="1:5" ht="22.2">
      <c r="A173" s="120"/>
      <c r="B173" s="79"/>
      <c r="C173" s="79"/>
      <c r="D173" s="99">
        <v>167</v>
      </c>
      <c r="E173" s="79"/>
    </row>
    <row r="174" spans="1:5" ht="22.2">
      <c r="A174" s="120"/>
      <c r="B174" s="79"/>
      <c r="C174" s="79"/>
      <c r="D174" s="99">
        <v>168</v>
      </c>
      <c r="E174" s="79"/>
    </row>
    <row r="175" spans="1:5" ht="22.2">
      <c r="A175" s="120"/>
      <c r="B175" s="79"/>
      <c r="C175" s="79"/>
      <c r="D175" s="99">
        <v>169</v>
      </c>
      <c r="E175" s="79"/>
    </row>
    <row r="176" spans="1:5" ht="22.2">
      <c r="A176" s="120"/>
      <c r="B176" s="79"/>
      <c r="C176" s="79"/>
      <c r="D176" s="99">
        <v>170</v>
      </c>
      <c r="E176" s="79"/>
    </row>
    <row r="177" spans="1:5" ht="22.2">
      <c r="A177" s="120"/>
      <c r="B177" s="79"/>
      <c r="C177" s="79"/>
      <c r="D177" s="99">
        <v>171</v>
      </c>
      <c r="E177" s="79"/>
    </row>
    <row r="178" spans="1:5" ht="22.2">
      <c r="A178" s="120"/>
      <c r="B178" s="79"/>
      <c r="C178" s="79"/>
      <c r="D178" s="99">
        <v>172</v>
      </c>
      <c r="E178" s="79"/>
    </row>
    <row r="179" spans="1:5" ht="22.2">
      <c r="A179" s="120"/>
      <c r="B179" s="79"/>
      <c r="C179" s="79"/>
      <c r="D179" s="99">
        <v>173</v>
      </c>
      <c r="E179" s="79"/>
    </row>
    <row r="180" spans="1:5" ht="22.2">
      <c r="A180" s="120"/>
      <c r="B180" s="79"/>
      <c r="C180" s="79"/>
      <c r="D180" s="99">
        <v>174</v>
      </c>
      <c r="E180" s="79"/>
    </row>
    <row r="181" spans="1:5" ht="22.2">
      <c r="A181" s="120"/>
      <c r="B181" s="79"/>
      <c r="C181" s="79"/>
      <c r="D181" s="99">
        <v>175</v>
      </c>
      <c r="E181" s="79"/>
    </row>
    <row r="182" spans="1:5" ht="22.2">
      <c r="A182" s="120"/>
      <c r="B182" s="79"/>
      <c r="C182" s="79"/>
      <c r="D182" s="99">
        <v>176</v>
      </c>
      <c r="E182" s="79"/>
    </row>
    <row r="183" spans="1:5" ht="22.2">
      <c r="A183" s="120"/>
      <c r="B183" s="79"/>
      <c r="C183" s="79"/>
      <c r="D183" s="99">
        <v>177</v>
      </c>
      <c r="E183" s="79"/>
    </row>
    <row r="184" spans="1:5" ht="22.2">
      <c r="A184" s="120"/>
      <c r="B184" s="79"/>
      <c r="C184" s="79"/>
      <c r="D184" s="99">
        <v>178</v>
      </c>
      <c r="E184" s="79"/>
    </row>
    <row r="185" spans="1:5" ht="22.2">
      <c r="A185" s="120"/>
      <c r="B185" s="79"/>
      <c r="C185" s="79"/>
      <c r="D185" s="99">
        <v>179</v>
      </c>
      <c r="E185" s="79"/>
    </row>
    <row r="186" spans="1:5" ht="22.2">
      <c r="A186" s="120"/>
      <c r="B186" s="79"/>
      <c r="C186" s="79"/>
      <c r="D186" s="99">
        <v>180</v>
      </c>
      <c r="E186" s="79"/>
    </row>
    <row r="187" spans="1:5" ht="22.2">
      <c r="A187" s="120"/>
      <c r="B187" s="79"/>
      <c r="C187" s="79"/>
      <c r="D187" s="99">
        <v>181</v>
      </c>
      <c r="E187" s="79"/>
    </row>
    <row r="188" spans="1:5" ht="22.2">
      <c r="A188" s="120"/>
      <c r="B188" s="79"/>
      <c r="C188" s="79"/>
      <c r="D188" s="99">
        <v>182</v>
      </c>
      <c r="E188" s="79"/>
    </row>
    <row r="189" spans="1:5" ht="22.2">
      <c r="A189" s="120"/>
      <c r="B189" s="79"/>
      <c r="C189" s="79"/>
      <c r="D189" s="99">
        <v>183</v>
      </c>
      <c r="E189" s="79"/>
    </row>
    <row r="190" spans="1:5" ht="22.2">
      <c r="A190" s="120"/>
      <c r="B190" s="79"/>
      <c r="C190" s="79"/>
      <c r="D190" s="99">
        <v>184</v>
      </c>
      <c r="E190" s="79"/>
    </row>
    <row r="191" spans="1:5" ht="22.2">
      <c r="A191" s="120"/>
      <c r="B191" s="79"/>
      <c r="C191" s="79"/>
      <c r="D191" s="99">
        <v>185</v>
      </c>
      <c r="E191" s="79"/>
    </row>
    <row r="192" spans="1:5" ht="22.2">
      <c r="A192" s="120"/>
      <c r="B192" s="79"/>
      <c r="C192" s="79"/>
      <c r="D192" s="99">
        <v>186</v>
      </c>
      <c r="E192" s="79"/>
    </row>
    <row r="193" spans="1:5" ht="22.2">
      <c r="A193" s="120"/>
      <c r="B193" s="79"/>
      <c r="C193" s="79"/>
      <c r="D193" s="99">
        <v>187</v>
      </c>
      <c r="E193" s="79"/>
    </row>
    <row r="194" spans="1:5" ht="22.2">
      <c r="A194" s="120"/>
      <c r="B194" s="79"/>
      <c r="C194" s="79"/>
      <c r="D194" s="99">
        <v>188</v>
      </c>
      <c r="E194" s="79"/>
    </row>
    <row r="195" spans="1:5" ht="22.2">
      <c r="A195" s="120"/>
      <c r="B195" s="79"/>
      <c r="C195" s="79"/>
      <c r="D195" s="99">
        <v>189</v>
      </c>
      <c r="E195" s="79"/>
    </row>
    <row r="196" spans="1:5" ht="22.2">
      <c r="A196" s="120"/>
      <c r="B196" s="79"/>
      <c r="C196" s="79"/>
      <c r="D196" s="99">
        <v>190</v>
      </c>
      <c r="E196" s="79"/>
    </row>
    <row r="197" spans="1:5" ht="22.2">
      <c r="A197" s="120"/>
      <c r="B197" s="79"/>
      <c r="C197" s="79"/>
      <c r="D197" s="99">
        <v>191</v>
      </c>
      <c r="E197" s="79"/>
    </row>
    <row r="198" spans="1:5" ht="22.2">
      <c r="A198" s="120"/>
      <c r="B198" s="79"/>
      <c r="C198" s="79"/>
      <c r="D198" s="99">
        <v>192</v>
      </c>
      <c r="E198" s="79"/>
    </row>
    <row r="199" spans="1:5" ht="22.2">
      <c r="A199" s="120"/>
      <c r="B199" s="79"/>
      <c r="C199" s="79"/>
      <c r="D199" s="99">
        <v>193</v>
      </c>
      <c r="E199" s="79"/>
    </row>
    <row r="200" spans="1:5" ht="22.2">
      <c r="A200" s="120"/>
      <c r="B200" s="79"/>
      <c r="C200" s="79"/>
      <c r="D200" s="99">
        <v>194</v>
      </c>
      <c r="E200" s="79"/>
    </row>
    <row r="201" spans="1:5" ht="22.2">
      <c r="A201" s="120"/>
      <c r="B201" s="79"/>
      <c r="C201" s="79"/>
      <c r="D201" s="99">
        <v>195</v>
      </c>
      <c r="E201" s="79"/>
    </row>
    <row r="202" spans="1:5" ht="22.2">
      <c r="A202" s="120"/>
      <c r="B202" s="79"/>
      <c r="C202" s="79"/>
      <c r="D202" s="99">
        <v>196</v>
      </c>
      <c r="E202" s="79"/>
    </row>
    <row r="203" spans="1:5" ht="22.2">
      <c r="A203" s="120"/>
      <c r="B203" s="79"/>
      <c r="C203" s="79"/>
      <c r="D203" s="99">
        <v>197</v>
      </c>
      <c r="E203" s="79"/>
    </row>
    <row r="204" spans="1:5" ht="22.2">
      <c r="A204" s="120"/>
      <c r="B204" s="79"/>
      <c r="C204" s="79"/>
      <c r="D204" s="99">
        <v>198</v>
      </c>
      <c r="E204" s="79"/>
    </row>
    <row r="205" spans="1:5" ht="22.2">
      <c r="A205" s="120"/>
      <c r="B205" s="79"/>
      <c r="C205" s="79"/>
      <c r="D205" s="99">
        <v>199</v>
      </c>
      <c r="E205" s="79"/>
    </row>
    <row r="206" spans="1:5" ht="22.8" thickBot="1">
      <c r="A206" s="120"/>
      <c r="B206" s="79"/>
      <c r="C206" s="79"/>
      <c r="D206" s="100">
        <v>200</v>
      </c>
      <c r="E206" s="79"/>
    </row>
    <row r="207" spans="1:5" ht="29.1" customHeight="1"/>
    <row r="208" spans="1:5" ht="24.6" customHeight="1"/>
    <row r="214" spans="1:2" ht="16.2" thickBot="1"/>
    <row r="215" spans="1:2" ht="17.399999999999999">
      <c r="A215" s="96" t="s">
        <v>12</v>
      </c>
      <c r="B215" s="119" t="s">
        <v>161</v>
      </c>
    </row>
    <row r="216" spans="1:2" ht="17.399999999999999">
      <c r="A216" s="151"/>
      <c r="B216" s="119"/>
    </row>
    <row r="217" spans="1:2" ht="16.2">
      <c r="A217" s="121" t="s">
        <v>71</v>
      </c>
      <c r="B217" s="119">
        <v>3</v>
      </c>
    </row>
    <row r="218" spans="1:2" ht="16.2">
      <c r="A218" s="121"/>
      <c r="B218" s="119"/>
    </row>
    <row r="219" spans="1:2" ht="16.2">
      <c r="A219" s="121" t="s">
        <v>72</v>
      </c>
      <c r="B219" s="119">
        <v>5</v>
      </c>
    </row>
    <row r="220" spans="1:2" ht="16.2">
      <c r="A220" s="121"/>
      <c r="B220" s="119"/>
    </row>
    <row r="221" spans="1:2" ht="16.2">
      <c r="A221" s="121" t="s">
        <v>73</v>
      </c>
      <c r="B221" s="119">
        <v>7</v>
      </c>
    </row>
    <row r="222" spans="1:2" ht="16.2">
      <c r="A222" s="121"/>
      <c r="B222" s="119"/>
    </row>
    <row r="223" spans="1:2" ht="16.2">
      <c r="A223" s="121" t="s">
        <v>65</v>
      </c>
      <c r="B223" s="119">
        <v>9</v>
      </c>
    </row>
    <row r="224" spans="1:2" ht="16.2">
      <c r="A224" s="121"/>
      <c r="B224" s="119"/>
    </row>
    <row r="225" spans="1:2" ht="16.2">
      <c r="A225" s="121" t="s">
        <v>66</v>
      </c>
      <c r="B225" s="119">
        <v>11</v>
      </c>
    </row>
    <row r="226" spans="1:2" ht="16.2">
      <c r="A226" s="121"/>
      <c r="B226" s="119"/>
    </row>
    <row r="227" spans="1:2" ht="16.2">
      <c r="A227" s="121" t="s">
        <v>67</v>
      </c>
      <c r="B227" s="119">
        <v>13</v>
      </c>
    </row>
    <row r="228" spans="1:2" ht="16.2">
      <c r="A228" s="121"/>
      <c r="B228" s="119"/>
    </row>
    <row r="229" spans="1:2" ht="16.2">
      <c r="A229" s="121" t="s">
        <v>68</v>
      </c>
      <c r="B229" s="119">
        <v>15</v>
      </c>
    </row>
    <row r="230" spans="1:2" ht="16.2">
      <c r="A230" s="121"/>
      <c r="B230" s="119"/>
    </row>
    <row r="231" spans="1:2" ht="16.2">
      <c r="A231" s="97" t="s">
        <v>22</v>
      </c>
      <c r="B231" s="119"/>
    </row>
    <row r="232" spans="1:2" ht="16.2">
      <c r="A232" s="150"/>
      <c r="B232" s="119"/>
    </row>
    <row r="233" spans="1:2" ht="16.2">
      <c r="A233" s="121" t="s">
        <v>148</v>
      </c>
      <c r="B233" s="119">
        <v>19</v>
      </c>
    </row>
    <row r="234" spans="1:2" ht="16.2">
      <c r="A234" s="121"/>
      <c r="B234" s="119"/>
    </row>
    <row r="235" spans="1:2" ht="16.2">
      <c r="A235" s="121" t="s">
        <v>69</v>
      </c>
      <c r="B235" s="119">
        <v>21</v>
      </c>
    </row>
    <row r="236" spans="1:2" ht="16.2">
      <c r="A236" s="121"/>
      <c r="B236" s="119"/>
    </row>
    <row r="237" spans="1:2" ht="16.2">
      <c r="A237" s="121" t="s">
        <v>149</v>
      </c>
      <c r="B237" s="119">
        <v>23</v>
      </c>
    </row>
    <row r="238" spans="1:2" ht="16.2">
      <c r="A238" s="121"/>
      <c r="B238" s="119"/>
    </row>
    <row r="239" spans="1:2" ht="33.6" customHeight="1">
      <c r="A239" s="192" t="s">
        <v>147</v>
      </c>
      <c r="B239" s="119">
        <v>25</v>
      </c>
    </row>
    <row r="240" spans="1:2" ht="16.2">
      <c r="A240" s="121"/>
      <c r="B240" s="119"/>
    </row>
    <row r="241" spans="1:2" ht="16.2">
      <c r="A241" s="121" t="s">
        <v>70</v>
      </c>
      <c r="B241" s="119">
        <v>27</v>
      </c>
    </row>
    <row r="242" spans="1:2" ht="16.2">
      <c r="A242" s="121"/>
      <c r="B242" s="119"/>
    </row>
    <row r="243" spans="1:2" ht="16.2">
      <c r="A243" s="121" t="s">
        <v>74</v>
      </c>
      <c r="B243" s="119">
        <v>29</v>
      </c>
    </row>
    <row r="244" spans="1:2" ht="16.2">
      <c r="A244" s="121"/>
      <c r="B244" s="119"/>
    </row>
    <row r="245" spans="1:2" ht="16.2">
      <c r="A245" s="121" t="s">
        <v>166</v>
      </c>
      <c r="B245" s="119">
        <v>31</v>
      </c>
    </row>
    <row r="246" spans="1:2" ht="16.2">
      <c r="A246" s="121"/>
      <c r="B246" s="119"/>
    </row>
    <row r="247" spans="1:2" ht="16.2">
      <c r="A247" s="121" t="s">
        <v>75</v>
      </c>
      <c r="B247" s="119">
        <v>33</v>
      </c>
    </row>
    <row r="248" spans="1:2" ht="16.2">
      <c r="A248" s="121"/>
      <c r="B248" s="119"/>
    </row>
    <row r="249" spans="1:2" ht="16.2">
      <c r="A249" s="121" t="s">
        <v>76</v>
      </c>
      <c r="B249" s="119">
        <v>35</v>
      </c>
    </row>
    <row r="250" spans="1:2" ht="16.2">
      <c r="A250" s="121"/>
      <c r="B250" s="119"/>
    </row>
    <row r="251" spans="1:2" ht="16.2">
      <c r="A251" s="121" t="s">
        <v>77</v>
      </c>
      <c r="B251" s="119">
        <v>37</v>
      </c>
    </row>
    <row r="252" spans="1:2" ht="16.2">
      <c r="A252" s="121"/>
      <c r="B252" s="119"/>
    </row>
    <row r="253" spans="1:2" ht="16.2">
      <c r="A253" s="121" t="s">
        <v>78</v>
      </c>
      <c r="B253" s="119">
        <v>39</v>
      </c>
    </row>
    <row r="254" spans="1:2" ht="16.2">
      <c r="A254" s="121"/>
      <c r="B254" s="119"/>
    </row>
    <row r="255" spans="1:2" ht="16.2">
      <c r="A255" s="121" t="s">
        <v>79</v>
      </c>
      <c r="B255" s="119">
        <v>41</v>
      </c>
    </row>
    <row r="256" spans="1:2" ht="16.2">
      <c r="A256" s="121"/>
      <c r="B256" s="119"/>
    </row>
    <row r="257" spans="1:2" ht="16.2">
      <c r="A257" s="121" t="s">
        <v>80</v>
      </c>
      <c r="B257" s="119">
        <v>43</v>
      </c>
    </row>
    <row r="258" spans="1:2" ht="16.2">
      <c r="A258" s="121"/>
      <c r="B258" s="119"/>
    </row>
    <row r="259" spans="1:2" ht="16.8" thickBot="1">
      <c r="A259" s="122" t="s">
        <v>81</v>
      </c>
      <c r="B259" s="119">
        <v>45</v>
      </c>
    </row>
    <row r="260" spans="1:2">
      <c r="B260" s="119"/>
    </row>
    <row r="261" spans="1:2">
      <c r="B261" s="119"/>
    </row>
    <row r="262" spans="1:2">
      <c r="B262" s="119"/>
    </row>
    <row r="263" spans="1:2">
      <c r="B263" s="119"/>
    </row>
    <row r="264" spans="1:2">
      <c r="B264" s="119"/>
    </row>
    <row r="265" spans="1:2">
      <c r="B265" s="119"/>
    </row>
    <row r="266" spans="1:2">
      <c r="B266" s="119"/>
    </row>
    <row r="267" spans="1:2">
      <c r="B267" s="119"/>
    </row>
    <row r="268" spans="1:2">
      <c r="B268" s="119"/>
    </row>
    <row r="269" spans="1:2">
      <c r="B269" s="119"/>
    </row>
    <row r="270" spans="1:2">
      <c r="B270" s="119"/>
    </row>
    <row r="271" spans="1:2">
      <c r="B271" s="119"/>
    </row>
    <row r="272" spans="1:2">
      <c r="B272" s="119"/>
    </row>
    <row r="273" spans="2:2">
      <c r="B273" s="119"/>
    </row>
    <row r="274" spans="2:2">
      <c r="B274" s="119"/>
    </row>
    <row r="275" spans="2:2">
      <c r="B275" s="119"/>
    </row>
    <row r="276" spans="2:2">
      <c r="B276" s="119"/>
    </row>
  </sheetData>
  <mergeCells count="1">
    <mergeCell ref="J4:M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rgb="FFFFFF00"/>
    <pageSetUpPr fitToPage="1"/>
  </sheetPr>
  <dimension ref="A1:J65"/>
  <sheetViews>
    <sheetView showGridLines="0" showZeros="0" defaultGridColor="0" topLeftCell="A30" colorId="22" zoomScale="76" zoomScaleNormal="76" workbookViewId="0">
      <selection activeCell="C48" sqref="C48"/>
    </sheetView>
  </sheetViews>
  <sheetFormatPr defaultColWidth="9.90625" defaultRowHeight="15"/>
  <cols>
    <col min="1" max="1" width="4.453125" style="6" bestFit="1" customWidth="1"/>
    <col min="2" max="2" width="28.90625" style="6" customWidth="1"/>
    <col min="3" max="3" width="19.453125" style="6" customWidth="1"/>
    <col min="4" max="4" width="16.90625" style="6" customWidth="1"/>
    <col min="5" max="5" width="16.90625" style="48" customWidth="1"/>
    <col min="6" max="6" width="7.08984375" style="6" customWidth="1"/>
    <col min="7" max="7" width="9.90625" style="6"/>
    <col min="8" max="8" width="24.6328125" style="6" customWidth="1"/>
    <col min="9" max="9" width="25.90625" style="6" customWidth="1"/>
    <col min="10" max="10" width="14.08984375" style="6" customWidth="1"/>
    <col min="11" max="16384" width="9.90625" style="6"/>
  </cols>
  <sheetData>
    <row r="1" spans="2:10" ht="15.6">
      <c r="B1" s="1" t="s">
        <v>0</v>
      </c>
      <c r="C1" s="2">
        <f ca="1">TRUNC(NOW())</f>
        <v>44953</v>
      </c>
      <c r="D1" s="3"/>
      <c r="E1" s="4"/>
      <c r="F1" s="5"/>
    </row>
    <row r="2" spans="2:10" ht="15.6">
      <c r="B2" s="7" t="s">
        <v>192</v>
      </c>
      <c r="C2" s="8"/>
      <c r="D2" s="9"/>
      <c r="E2" s="4"/>
      <c r="F2" s="5"/>
    </row>
    <row r="3" spans="2:10">
      <c r="B3" s="10" t="s">
        <v>1</v>
      </c>
      <c r="C3" s="297"/>
      <c r="D3" s="298"/>
      <c r="E3" s="4"/>
      <c r="F3" s="5"/>
    </row>
    <row r="4" spans="2:10" ht="20.399999999999999" customHeight="1">
      <c r="B4" s="11" t="s">
        <v>2</v>
      </c>
      <c r="C4" s="299"/>
      <c r="D4" s="300"/>
      <c r="E4" s="4"/>
      <c r="F4" s="5"/>
    </row>
    <row r="5" spans="2:10">
      <c r="B5" s="11" t="s">
        <v>3</v>
      </c>
      <c r="C5" s="299"/>
      <c r="D5" s="301"/>
      <c r="E5" s="4"/>
      <c r="F5" s="5"/>
    </row>
    <row r="6" spans="2:10">
      <c r="B6" s="11" t="s">
        <v>4</v>
      </c>
      <c r="C6" s="299"/>
      <c r="D6" s="301"/>
      <c r="E6" s="4"/>
      <c r="F6" s="5"/>
    </row>
    <row r="7" spans="2:10" ht="15.6" thickBot="1">
      <c r="B7" s="12" t="s">
        <v>5</v>
      </c>
      <c r="C7" s="13" t="s">
        <v>6</v>
      </c>
      <c r="D7" s="14"/>
      <c r="E7" s="4"/>
      <c r="F7" s="5"/>
    </row>
    <row r="8" spans="2:10" ht="20.399999999999999" customHeight="1" thickTop="1">
      <c r="B8" s="15" t="s">
        <v>7</v>
      </c>
      <c r="C8" s="302">
        <v>0</v>
      </c>
      <c r="D8" s="303"/>
      <c r="E8" s="4"/>
      <c r="F8" s="5"/>
    </row>
    <row r="9" spans="2:10" ht="20.399999999999999" customHeight="1">
      <c r="B9" s="16" t="s">
        <v>8</v>
      </c>
      <c r="C9" s="295">
        <f>SUM(C39+C52)</f>
        <v>0</v>
      </c>
      <c r="D9" s="296"/>
      <c r="E9" s="4"/>
      <c r="F9" s="5"/>
    </row>
    <row r="10" spans="2:10" ht="20.399999999999999" customHeight="1">
      <c r="B10" s="17" t="s">
        <v>9</v>
      </c>
      <c r="C10" s="18" t="str">
        <f>IF(C8-C9=0,"0.00","")</f>
        <v>0.00</v>
      </c>
      <c r="D10" s="18" t="str">
        <f>IF(C8=0,"NA",(C8-C9))</f>
        <v>NA</v>
      </c>
      <c r="E10" s="19"/>
      <c r="F10" s="5"/>
    </row>
    <row r="11" spans="2:10" ht="43.35" customHeight="1">
      <c r="B11" s="20" t="s">
        <v>10</v>
      </c>
      <c r="C11" s="21" t="s">
        <v>11</v>
      </c>
      <c r="D11" s="22" t="s">
        <v>56</v>
      </c>
      <c r="E11" s="23"/>
      <c r="F11" s="5"/>
    </row>
    <row r="12" spans="2:10" ht="15" customHeight="1">
      <c r="B12" s="7" t="s">
        <v>12</v>
      </c>
      <c r="C12" s="24"/>
      <c r="D12" s="24"/>
      <c r="E12" s="25"/>
      <c r="F12" s="5"/>
    </row>
    <row r="13" spans="2:10">
      <c r="B13" s="16" t="s">
        <v>13</v>
      </c>
      <c r="C13" s="26">
        <f>IF(AND(CONTROLS!$J$5=2,CONTROLS!$J$12=3),CONTROLS!$J$9)/CONTROLS!$J$11</f>
        <v>0</v>
      </c>
      <c r="D13" s="27" t="b">
        <f>IF(C13&gt;0,1)</f>
        <v>0</v>
      </c>
      <c r="E13"/>
      <c r="F13" s="74"/>
      <c r="G13" s="75"/>
      <c r="H13" s="75"/>
      <c r="I13" s="75"/>
      <c r="J13" s="75"/>
    </row>
    <row r="14" spans="2:10">
      <c r="B14" s="16" t="s">
        <v>14</v>
      </c>
      <c r="C14" s="26">
        <f>IF(AND(CONTROLS!$J$5=2,CONTROLS!$J$12=5),CONTROLS!$J$9)/CONTROLS!$J$11</f>
        <v>0</v>
      </c>
      <c r="D14" s="27" t="b">
        <f t="shared" ref="D14:D17" si="0">IF(C14&gt;0,1)</f>
        <v>0</v>
      </c>
      <c r="E14"/>
      <c r="F14" s="74"/>
      <c r="G14" s="75"/>
      <c r="H14" s="75"/>
      <c r="I14" s="75"/>
      <c r="J14" s="75"/>
    </row>
    <row r="15" spans="2:10">
      <c r="B15" s="16" t="s">
        <v>15</v>
      </c>
      <c r="C15" s="26">
        <f>IF(AND(CONTROLS!$J$5=2,CONTROLS!$J$12=7),CONTROLS!$J$9)/CONTROLS!$J$11</f>
        <v>0</v>
      </c>
      <c r="D15" s="27" t="b">
        <f t="shared" si="0"/>
        <v>0</v>
      </c>
      <c r="E15"/>
      <c r="F15" s="74"/>
      <c r="G15" s="75"/>
      <c r="H15" s="75"/>
      <c r="I15" s="75"/>
      <c r="J15" s="75"/>
    </row>
    <row r="16" spans="2:10">
      <c r="B16" s="16" t="s">
        <v>16</v>
      </c>
      <c r="C16" s="26">
        <f>IF(AND(CONTROLS!$J$5=2,CONTROLS!$J$12=9),CONTROLS!$J$9)/CONTROLS!$J$11</f>
        <v>0</v>
      </c>
      <c r="D16" s="27" t="b">
        <f t="shared" si="0"/>
        <v>0</v>
      </c>
      <c r="E16"/>
      <c r="F16" s="74"/>
      <c r="G16" s="75"/>
      <c r="H16" s="75"/>
      <c r="I16" s="75"/>
      <c r="J16" s="75"/>
    </row>
    <row r="17" spans="2:10">
      <c r="B17" s="16" t="s">
        <v>18</v>
      </c>
      <c r="C17" s="26">
        <f>IF(AND(CONTROLS!$J$5=2,CONTROLS!$J$12=11),CONTROLS!$J$9)/CONTROLS!$J$11</f>
        <v>0</v>
      </c>
      <c r="D17" s="27" t="b">
        <f t="shared" si="0"/>
        <v>0</v>
      </c>
      <c r="E17"/>
      <c r="F17" s="74"/>
      <c r="G17" s="75"/>
      <c r="H17" s="75"/>
      <c r="I17" s="75"/>
      <c r="J17" s="75"/>
    </row>
    <row r="18" spans="2:10">
      <c r="B18" s="16" t="s">
        <v>19</v>
      </c>
      <c r="C18" s="26" t="b">
        <f>IF(AND(CONTROLS!$J$5=2,CONTROLS!$J$12=13),CONTROLS!$J$9)</f>
        <v>0</v>
      </c>
      <c r="D18" s="28" t="s">
        <v>17</v>
      </c>
      <c r="E18"/>
      <c r="F18" s="74"/>
      <c r="G18" s="75"/>
      <c r="H18" s="75"/>
      <c r="I18" s="75"/>
      <c r="J18" s="75"/>
    </row>
    <row r="19" spans="2:10" ht="15.6" thickBot="1">
      <c r="B19" s="29" t="s">
        <v>20</v>
      </c>
      <c r="C19" s="26">
        <f>IF(AND(CONTROLS!$J$5=2,CONTROLS!$J$12=15),CONTROLS!$J$9)/CONTROLS!$J$11</f>
        <v>0</v>
      </c>
      <c r="D19" s="30" t="s">
        <v>17</v>
      </c>
      <c r="E19"/>
      <c r="F19" s="74"/>
      <c r="G19" s="75"/>
      <c r="H19" s="75"/>
      <c r="I19" s="75"/>
      <c r="J19" s="75"/>
    </row>
    <row r="20" spans="2:10" ht="15.6" thickBot="1">
      <c r="B20" s="31" t="s">
        <v>21</v>
      </c>
      <c r="C20" s="32">
        <f>SUM(C13:C19)</f>
        <v>0</v>
      </c>
      <c r="D20" s="33">
        <f>SUM(D13:D19)</f>
        <v>0</v>
      </c>
      <c r="E20"/>
      <c r="F20" s="74"/>
      <c r="G20" s="75"/>
      <c r="H20" s="75"/>
      <c r="I20" s="75"/>
      <c r="J20" s="75"/>
    </row>
    <row r="21" spans="2:10">
      <c r="B21" s="34"/>
      <c r="C21" s="34"/>
      <c r="D21" s="35"/>
      <c r="E21"/>
      <c r="F21" s="74"/>
      <c r="G21" s="75"/>
      <c r="H21" s="75"/>
      <c r="I21" s="75"/>
      <c r="J21" s="75"/>
    </row>
    <row r="22" spans="2:10" ht="15.6">
      <c r="B22" s="7" t="s">
        <v>22</v>
      </c>
      <c r="C22" s="16" t="s">
        <v>5</v>
      </c>
      <c r="D22" s="36"/>
      <c r="E22"/>
      <c r="F22" s="74"/>
      <c r="G22" s="75"/>
      <c r="H22" s="75"/>
      <c r="I22" s="75"/>
      <c r="J22" s="75"/>
    </row>
    <row r="23" spans="2:10">
      <c r="B23" s="16" t="s">
        <v>23</v>
      </c>
      <c r="C23" s="26">
        <f>IF(AND(CONTROLS!$J$5=2,CONTROLS!$J$12=19),CONTROLS!$J$9)/CONTROLS!$J$11</f>
        <v>0</v>
      </c>
      <c r="D23" s="27" t="b">
        <f t="shared" ref="D23:D34" si="1">IF(C23&gt;0,1)</f>
        <v>0</v>
      </c>
      <c r="E23"/>
      <c r="F23" s="74"/>
      <c r="G23" s="75"/>
      <c r="H23" s="75"/>
      <c r="I23" s="75"/>
      <c r="J23" s="75"/>
    </row>
    <row r="24" spans="2:10">
      <c r="B24" s="16" t="s">
        <v>13</v>
      </c>
      <c r="C24" s="26">
        <f>IF(AND(CONTROLS!$J$5=2,CONTROLS!$J$12=21),CONTROLS!$J$9)/CONTROLS!$J$11</f>
        <v>0</v>
      </c>
      <c r="D24" s="27" t="b">
        <f t="shared" si="1"/>
        <v>0</v>
      </c>
      <c r="E24"/>
      <c r="F24" s="74"/>
      <c r="G24" s="75"/>
      <c r="H24" s="75"/>
      <c r="I24" s="75"/>
      <c r="J24" s="75"/>
    </row>
    <row r="25" spans="2:10">
      <c r="B25" s="16" t="s">
        <v>24</v>
      </c>
      <c r="C25" s="26">
        <f>IF(AND(CONTROLS!$J$5=2,CONTROLS!$J$12=23),CONTROLS!$J$9)/CONTROLS!$J$11</f>
        <v>0</v>
      </c>
      <c r="D25" s="27" t="b">
        <f t="shared" si="1"/>
        <v>0</v>
      </c>
      <c r="E25"/>
      <c r="F25" s="74"/>
      <c r="G25" s="75"/>
      <c r="H25" s="75"/>
      <c r="I25" s="75"/>
      <c r="J25" s="75"/>
    </row>
    <row r="26" spans="2:10">
      <c r="B26" s="16" t="s">
        <v>25</v>
      </c>
      <c r="C26" s="26">
        <f>IF(AND(CONTROLS!$J$5=2,CONTROLS!$J$12=25),CONTROLS!$J$9)/CONTROLS!$J$11</f>
        <v>0</v>
      </c>
      <c r="D26" s="27" t="b">
        <f t="shared" si="1"/>
        <v>0</v>
      </c>
      <c r="E26"/>
      <c r="F26" s="74"/>
      <c r="G26" s="75"/>
      <c r="H26" s="75"/>
      <c r="I26" s="75"/>
      <c r="J26" s="75"/>
    </row>
    <row r="27" spans="2:10">
      <c r="B27" s="16" t="s">
        <v>26</v>
      </c>
      <c r="C27" s="26">
        <f>IF(AND(CONTROLS!$J$5=2,CONTROLS!$J$12=27),CONTROLS!$J$9)/CONTROLS!$J$11</f>
        <v>0</v>
      </c>
      <c r="D27" s="27" t="b">
        <f t="shared" si="1"/>
        <v>0</v>
      </c>
      <c r="E27"/>
      <c r="F27" s="74"/>
      <c r="G27" s="75"/>
      <c r="H27" s="75"/>
      <c r="I27" s="75"/>
      <c r="J27" s="75"/>
    </row>
    <row r="28" spans="2:10">
      <c r="B28" s="16" t="s">
        <v>27</v>
      </c>
      <c r="C28" s="26">
        <f>IF(AND(CONTROLS!$J$5=2,CONTROLS!$J$12=29),CONTROLS!$J$9)/CONTROLS!$J$11</f>
        <v>0</v>
      </c>
      <c r="D28" s="27" t="b">
        <f t="shared" si="1"/>
        <v>0</v>
      </c>
      <c r="E28"/>
      <c r="F28" s="74"/>
      <c r="G28" s="75"/>
      <c r="H28" s="75"/>
      <c r="I28" s="75"/>
      <c r="J28" s="75"/>
    </row>
    <row r="29" spans="2:10">
      <c r="B29" s="16" t="s">
        <v>28</v>
      </c>
      <c r="C29" s="26">
        <f>IF(AND(CONTROLS!$J$5=2,CONTROLS!$J$12=31),CONTROLS!$J$9)/CONTROLS!$J$11</f>
        <v>0</v>
      </c>
      <c r="D29" s="27" t="b">
        <f t="shared" si="1"/>
        <v>0</v>
      </c>
      <c r="E29"/>
      <c r="F29" s="74"/>
      <c r="G29" s="75"/>
      <c r="H29" s="75"/>
      <c r="I29" s="75"/>
      <c r="J29" s="75"/>
    </row>
    <row r="30" spans="2:10">
      <c r="B30" s="16" t="s">
        <v>16</v>
      </c>
      <c r="C30" s="26">
        <f>IF(AND(CONTROLS!$J$5=2,CONTROLS!$J$12=33),CONTROLS!$J$9)/CONTROLS!$J$11</f>
        <v>0</v>
      </c>
      <c r="D30" s="27" t="b">
        <f t="shared" si="1"/>
        <v>0</v>
      </c>
      <c r="E30" s="5"/>
      <c r="F30" s="76"/>
      <c r="G30" s="75"/>
      <c r="H30" s="75"/>
      <c r="I30" s="75"/>
      <c r="J30" s="75"/>
    </row>
    <row r="31" spans="2:10">
      <c r="B31" s="16" t="s">
        <v>18</v>
      </c>
      <c r="C31" s="26">
        <f>IF(AND(CONTROLS!$J$5=2,CONTROLS!$J$12=35),CONTROLS!$J$9)/CONTROLS!$J$11</f>
        <v>0</v>
      </c>
      <c r="D31" s="27" t="b">
        <f t="shared" si="1"/>
        <v>0</v>
      </c>
      <c r="E31" s="5"/>
      <c r="F31" s="76"/>
      <c r="G31" s="75"/>
      <c r="H31" s="75"/>
      <c r="I31" s="75"/>
      <c r="J31" s="75"/>
    </row>
    <row r="32" spans="2:10">
      <c r="B32" s="16" t="s">
        <v>19</v>
      </c>
      <c r="C32" s="26" t="b">
        <f>IF(AND(CONTROLS!$J$5=2,CONTROLS!$J$12=37),CONTROLS!$J$9)</f>
        <v>0</v>
      </c>
      <c r="D32" s="28" t="s">
        <v>17</v>
      </c>
      <c r="E32" s="4"/>
      <c r="F32" s="76"/>
      <c r="G32" s="75"/>
      <c r="H32" s="75"/>
      <c r="I32" s="75"/>
      <c r="J32" s="75"/>
    </row>
    <row r="33" spans="1:10">
      <c r="B33" s="16" t="s">
        <v>29</v>
      </c>
      <c r="C33" s="26">
        <f>IF(AND(CONTROLS!$J$5=2,CONTROLS!$J$12=39),CONTROLS!$J$9)/CONTROLS!$J$11</f>
        <v>0</v>
      </c>
      <c r="D33" s="27" t="b">
        <f t="shared" si="1"/>
        <v>0</v>
      </c>
      <c r="E33" s="4"/>
      <c r="F33" s="76"/>
      <c r="G33" s="75"/>
      <c r="H33" s="75"/>
      <c r="I33" s="75"/>
      <c r="J33" s="75"/>
    </row>
    <row r="34" spans="1:10">
      <c r="B34" s="16" t="s">
        <v>30</v>
      </c>
      <c r="C34" s="26">
        <f>IF(AND(CONTROLS!$J$5=2,CONTROLS!$J$12=41),CONTROLS!$J$9)/CONTROLS!$J$11</f>
        <v>0</v>
      </c>
      <c r="D34" s="27" t="b">
        <f t="shared" si="1"/>
        <v>0</v>
      </c>
      <c r="E34" s="4"/>
      <c r="F34" s="76"/>
      <c r="G34" s="75"/>
      <c r="H34" s="75"/>
      <c r="I34" s="75"/>
      <c r="J34" s="75"/>
    </row>
    <row r="35" spans="1:10">
      <c r="B35" s="16" t="s">
        <v>31</v>
      </c>
      <c r="C35" s="26" t="b">
        <f>IF(AND(CONTROLS!$J$5=2,CONTROLS!$J$12=43),CONTROLS!$J$9)</f>
        <v>0</v>
      </c>
      <c r="D35" s="28" t="s">
        <v>17</v>
      </c>
      <c r="E35" s="37"/>
      <c r="F35" s="76"/>
      <c r="G35" s="75"/>
      <c r="H35" s="75"/>
      <c r="I35" s="75"/>
      <c r="J35" s="75"/>
    </row>
    <row r="36" spans="1:10" ht="15.6" thickBot="1">
      <c r="B36" s="29" t="s">
        <v>32</v>
      </c>
      <c r="C36" s="26" t="b">
        <f>IF(AND(CONTROLS!$J$5=2,CONTROLS!$J$12=45),CONTROLS!$J$9)</f>
        <v>0</v>
      </c>
      <c r="D36" s="30" t="s">
        <v>17</v>
      </c>
      <c r="E36" s="37"/>
      <c r="F36" s="76"/>
      <c r="G36" s="75"/>
      <c r="H36" s="75"/>
      <c r="I36" s="75"/>
      <c r="J36" s="75"/>
    </row>
    <row r="37" spans="1:10" ht="15.6" thickBot="1">
      <c r="B37" s="31" t="s">
        <v>33</v>
      </c>
      <c r="C37" s="32">
        <f>SUM(C23:C36)</f>
        <v>0</v>
      </c>
      <c r="D37" s="33">
        <f>SUM(D23:D36)</f>
        <v>0</v>
      </c>
      <c r="E37" s="4"/>
      <c r="F37" s="76"/>
      <c r="G37" s="75"/>
      <c r="H37" s="75"/>
      <c r="I37" s="75"/>
      <c r="J37" s="75"/>
    </row>
    <row r="38" spans="1:10" ht="15.6" thickBot="1">
      <c r="B38" s="38"/>
      <c r="C38" s="39"/>
      <c r="D38" s="40"/>
      <c r="E38" s="263" t="s">
        <v>134</v>
      </c>
      <c r="F38" s="262"/>
      <c r="G38" s="261"/>
      <c r="H38" s="261"/>
      <c r="I38" s="75"/>
      <c r="J38" s="75"/>
    </row>
    <row r="39" spans="1:10" ht="15.6" thickBot="1">
      <c r="B39" s="31" t="s">
        <v>34</v>
      </c>
      <c r="C39" s="32">
        <f>C20+C37</f>
        <v>0</v>
      </c>
      <c r="D39" s="33">
        <f>D20+D37</f>
        <v>0</v>
      </c>
      <c r="E39" s="267" t="s">
        <v>190</v>
      </c>
      <c r="F39" s="262"/>
      <c r="G39" s="261"/>
      <c r="H39" s="261"/>
      <c r="I39" s="75"/>
      <c r="J39" s="75"/>
    </row>
    <row r="40" spans="1:10">
      <c r="B40" s="41" t="s">
        <v>5</v>
      </c>
      <c r="C40" s="15"/>
      <c r="D40" s="42"/>
      <c r="E40" s="267" t="s">
        <v>189</v>
      </c>
      <c r="F40" s="264"/>
      <c r="G40" s="265"/>
      <c r="H40" s="266"/>
      <c r="I40" s="75"/>
      <c r="J40" s="75"/>
    </row>
    <row r="41" spans="1:10">
      <c r="B41" s="16" t="s">
        <v>35</v>
      </c>
      <c r="C41" s="66" t="s">
        <v>86</v>
      </c>
      <c r="D41" s="43" t="s">
        <v>85</v>
      </c>
      <c r="F41" s="268"/>
      <c r="G41" s="269"/>
      <c r="H41" s="270"/>
      <c r="I41" s="16" t="s">
        <v>35</v>
      </c>
      <c r="J41" s="66"/>
    </row>
    <row r="42" spans="1:10">
      <c r="A42" s="6">
        <v>211</v>
      </c>
      <c r="B42" s="16" t="s">
        <v>36</v>
      </c>
      <c r="C42" s="198">
        <f>MIN(ROUND(60*SUM(D13+D14+D15+D23+D24+D25+D26+D27+D28+D29),2),SUM(ROUND(((C13+C14+C15+C23+C24+C25+C26+C27+C28+C29)/1000*0.1*12),2)))</f>
        <v>0</v>
      </c>
      <c r="D42" s="198">
        <f>ROUND(C42*CONTROLS!$J$11,2)</f>
        <v>0</v>
      </c>
      <c r="F42" s="268"/>
      <c r="G42" s="269"/>
      <c r="H42" s="270">
        <v>211</v>
      </c>
      <c r="I42" s="16" t="s">
        <v>36</v>
      </c>
      <c r="J42" s="199">
        <f>IF(OR(CONTROLS!$J$12=13,CONTROLS!$J$12=15,CONTROLS!$J$12=37,CONTROLS!$J$12=43,CONTROLS!$J$12=45),ROUND(C42,0),D42)</f>
        <v>0</v>
      </c>
    </row>
    <row r="43" spans="1:10">
      <c r="A43" s="6">
        <v>213</v>
      </c>
      <c r="B43" s="45" t="s">
        <v>37</v>
      </c>
      <c r="C43" s="198">
        <f>ROUND(((D13+D14+D15+D16+D17+D23+D24+D25+D26+D27+D28+D29+D30+D31)*43.13),2)</f>
        <v>0</v>
      </c>
      <c r="D43" s="198">
        <f>C43*CONTROLS!$J$11</f>
        <v>0</v>
      </c>
      <c r="E43" s="4"/>
      <c r="F43" s="76"/>
      <c r="G43" s="75"/>
      <c r="H43" s="6">
        <v>213</v>
      </c>
      <c r="I43" s="45" t="s">
        <v>37</v>
      </c>
      <c r="J43" s="199">
        <f>IF(OR(CONTROLS!$J$12=13,CONTROLS!$J$12=15,CONTROLS!$J$12=37,CONTROLS!$J$12=43,CONTROLS!$J$12=45),ROUND(C43,0),D43)</f>
        <v>0</v>
      </c>
    </row>
    <row r="44" spans="1:10">
      <c r="A44" s="6">
        <v>215</v>
      </c>
      <c r="B44" s="16" t="s">
        <v>38</v>
      </c>
      <c r="C44" s="44">
        <f>MIN(ROUND(91.2*SUM(D13+D14+D15+D23+D24+D25+D26+D27+D28+D29),2),SUM(ROUND(((C13+C14+C15+C23+C24+C25+C26+C27+C28+C29)/100*0.19),2)))</f>
        <v>0</v>
      </c>
      <c r="D44" s="44">
        <f>ROUND(C44*CONTROLS!$J$11,0)</f>
        <v>0</v>
      </c>
      <c r="E44" s="4"/>
      <c r="F44" s="76"/>
      <c r="G44" s="75"/>
      <c r="H44" s="6">
        <v>215</v>
      </c>
      <c r="I44" s="16" t="s">
        <v>38</v>
      </c>
      <c r="J44" s="128">
        <f>IF(OR(CONTROLS!$J$12=13,CONTROLS!$J$12=15,CONTROLS!$J$12=37,CONTROLS!$J$12=43,CONTROLS!$J$12=45),ROUND(C44,0),D44)</f>
        <v>0</v>
      </c>
    </row>
    <row r="45" spans="1:10">
      <c r="A45" s="6">
        <v>221</v>
      </c>
      <c r="B45" s="16" t="s">
        <v>39</v>
      </c>
      <c r="C45" s="44">
        <f>ROUND((C24+C25+C26+C27+C28+C29+C30+C31+C32+C34+C35)*(0.062),2)</f>
        <v>0</v>
      </c>
      <c r="D45" s="44">
        <f>ROUND(C45*CONTROLS!$J$11,0)</f>
        <v>0</v>
      </c>
      <c r="E45" s="46"/>
      <c r="F45" s="76"/>
      <c r="G45" s="75"/>
      <c r="H45" s="6">
        <v>221</v>
      </c>
      <c r="I45" s="16" t="s">
        <v>39</v>
      </c>
      <c r="J45" s="128">
        <f>IF(OR(CONTROLS!$J$12=13,CONTROLS!$J$12=15,CONTROLS!$J$12=37,CONTROLS!$J$12=43,CONTROLS!$J$12=45),ROUND(C45,0),D45)</f>
        <v>0</v>
      </c>
    </row>
    <row r="46" spans="1:10" ht="15" customHeight="1">
      <c r="A46" s="6">
        <v>222</v>
      </c>
      <c r="B46" s="16" t="s">
        <v>40</v>
      </c>
      <c r="C46" s="44">
        <f>ROUND((C37-C33+C20)*0.0145,2)</f>
        <v>0</v>
      </c>
      <c r="D46" s="44">
        <f>ROUND(C46*CONTROLS!$J$11,0)</f>
        <v>0</v>
      </c>
      <c r="E46" s="46"/>
      <c r="F46" s="152"/>
      <c r="G46" s="75"/>
      <c r="H46" s="6">
        <v>222</v>
      </c>
      <c r="I46" s="16" t="s">
        <v>40</v>
      </c>
      <c r="J46" s="128">
        <f>IF(OR(CONTROLS!$J$12=13,CONTROLS!$J$12=15,CONTROLS!$J$12=37,CONTROLS!$J$12=43,CONTROLS!$J$12=45),ROUND(C46,0),D46)</f>
        <v>0</v>
      </c>
    </row>
    <row r="47" spans="1:10">
      <c r="A47" s="6">
        <v>231</v>
      </c>
      <c r="B47" s="16" t="s">
        <v>41</v>
      </c>
      <c r="C47" s="44">
        <f>ROUND(((+C13+C14+C16+C17+C18+C15+C19+C23+C36)*0.03),2)</f>
        <v>0</v>
      </c>
      <c r="D47" s="44">
        <f>ROUND(C47*CONTROLS!$J$11,0)</f>
        <v>0</v>
      </c>
      <c r="E47" s="47"/>
      <c r="F47" s="75"/>
      <c r="G47" s="75"/>
      <c r="H47" s="6">
        <v>231</v>
      </c>
      <c r="I47" s="16" t="s">
        <v>41</v>
      </c>
      <c r="J47" s="128">
        <f>IF(OR(CONTROLS!$J$12=13,CONTROLS!$J$12=15,CONTROLS!$J$12=37,CONTROLS!$J$12=43,CONTROLS!$J$12=45),ROUND(C47,0),D47)</f>
        <v>0</v>
      </c>
    </row>
    <row r="48" spans="1:10" ht="14.25" customHeight="1">
      <c r="A48" s="6">
        <v>232</v>
      </c>
      <c r="B48" s="16" t="s">
        <v>42</v>
      </c>
      <c r="C48" s="44">
        <f>ROUND(((C24+C25+C26+C27+C28+C29+C32+C35)*0.3),2)</f>
        <v>0</v>
      </c>
      <c r="D48" s="44">
        <f>ROUND(C48*CONTROLS!$J$11,0)</f>
        <v>0</v>
      </c>
      <c r="E48" s="47"/>
      <c r="F48" s="76"/>
      <c r="G48" s="75"/>
      <c r="H48" s="6">
        <v>232</v>
      </c>
      <c r="I48" s="16" t="s">
        <v>42</v>
      </c>
      <c r="J48" s="128">
        <f>IF(OR(CONTROLS!$J$12=13,CONTROLS!$J$12=15,CONTROLS!$J$12=37,CONTROLS!$J$12=43,CONTROLS!$J$12=45),ROUND(C48,0),D48)</f>
        <v>0</v>
      </c>
    </row>
    <row r="49" spans="1:10">
      <c r="A49" s="6">
        <v>253</v>
      </c>
      <c r="B49" s="16" t="s">
        <v>43</v>
      </c>
      <c r="C49" s="44">
        <f>ROUND(((D13+D14+D15+D16+D23+D24+D25+D26+D27+D28+D29+D30)*60),2)+SUM(C17+C18+C19+C31+C32+C35+C36)*0.01</f>
        <v>0</v>
      </c>
      <c r="D49" s="44">
        <f>ROUND(C49*CONTROLS!$J$11,0)</f>
        <v>0</v>
      </c>
      <c r="E49" s="46"/>
      <c r="F49" s="76"/>
      <c r="G49" s="75"/>
      <c r="H49" s="6">
        <v>253</v>
      </c>
      <c r="I49" s="16" t="s">
        <v>43</v>
      </c>
      <c r="J49" s="128">
        <f>IF(OR(CONTROLS!$J$12=13,CONTROLS!$J$12=15,CONTROLS!$J$12=37,CONTROLS!$J$12=43,CONTROLS!$J$12=45),ROUND(C49,0),D49)</f>
        <v>0</v>
      </c>
    </row>
    <row r="50" spans="1:10">
      <c r="A50" s="6">
        <v>260</v>
      </c>
      <c r="B50" s="16" t="s">
        <v>44</v>
      </c>
      <c r="C50" s="44">
        <f>ROUND(((C13+C14+C16+C17+C15+C18+C23+C24+C25+C26+C30+C31+C32+C33+C34+C19+C35+C36)/100*0.26+(C27+C28)/100*2.18+(C29/100)*3.81),2)</f>
        <v>0</v>
      </c>
      <c r="D50" s="44">
        <f>ROUND(C50*CONTROLS!$J$11,0)</f>
        <v>0</v>
      </c>
      <c r="E50" s="4"/>
      <c r="F50" s="76"/>
      <c r="G50" s="75"/>
      <c r="H50" s="6">
        <v>260</v>
      </c>
      <c r="I50" s="16" t="s">
        <v>44</v>
      </c>
      <c r="J50" s="128">
        <f>IF(OR(CONTROLS!$J$12=13,CONTROLS!$J$12=15,CONTROLS!$J$12=37,CONTROLS!$J$12=43,CONTROLS!$J$12=45),ROUND(C50,0),D50)</f>
        <v>0</v>
      </c>
    </row>
    <row r="51" spans="1:10" s="48" customFormat="1">
      <c r="A51" s="6"/>
      <c r="B51" s="16"/>
      <c r="C51" s="44"/>
      <c r="D51" s="16"/>
      <c r="E51" s="4"/>
      <c r="F51" s="76"/>
      <c r="G51" s="75"/>
      <c r="H51" s="6"/>
      <c r="I51" s="16"/>
      <c r="J51" s="44"/>
    </row>
    <row r="52" spans="1:10" s="48" customFormat="1" ht="15.6">
      <c r="A52" s="6"/>
      <c r="B52" s="16" t="s">
        <v>45</v>
      </c>
      <c r="C52" s="44">
        <f>SUM(C42:C50)</f>
        <v>0</v>
      </c>
      <c r="D52" s="44">
        <f>SUM(D42:D50)</f>
        <v>0</v>
      </c>
      <c r="E52" s="4"/>
      <c r="F52" s="76"/>
      <c r="G52" s="75"/>
      <c r="H52" s="6"/>
      <c r="I52" s="7" t="s">
        <v>45</v>
      </c>
      <c r="J52" s="127">
        <f>SUM(J42:J50)</f>
        <v>0</v>
      </c>
    </row>
    <row r="53" spans="1:10" s="48" customFormat="1">
      <c r="A53" s="6"/>
      <c r="B53" s="16" t="s">
        <v>6</v>
      </c>
      <c r="C53" s="49" t="s">
        <v>5</v>
      </c>
      <c r="D53" s="50" t="s">
        <v>5</v>
      </c>
      <c r="E53" s="4"/>
      <c r="F53" s="76"/>
      <c r="G53" s="75"/>
      <c r="H53" s="6"/>
      <c r="I53" s="16" t="s">
        <v>6</v>
      </c>
      <c r="J53" s="126" t="s">
        <v>5</v>
      </c>
    </row>
    <row r="54" spans="1:10" s="48" customFormat="1" ht="17.399999999999999">
      <c r="A54" s="6"/>
      <c r="B54" s="51" t="s">
        <v>8</v>
      </c>
      <c r="C54" s="124">
        <f>(C39+C52)</f>
        <v>0</v>
      </c>
      <c r="D54" s="215">
        <f>CONTROLS!$J$9+D52</f>
        <v>0</v>
      </c>
      <c r="E54" s="216" t="s">
        <v>89</v>
      </c>
      <c r="F54" s="76"/>
      <c r="G54" s="75"/>
      <c r="H54" s="6"/>
      <c r="I54" s="51" t="s">
        <v>91</v>
      </c>
      <c r="J54" s="123">
        <f>IF(OR(CONTROLS!$J$12=13,CONTROLS!$J$12=15,CONTROLS!$J$12=37,CONTROLS!$J$12=43,CONTROLS!$J$12=45),ROUND(C54,0),D54)</f>
        <v>0</v>
      </c>
    </row>
    <row r="55" spans="1:10" s="48" customFormat="1" ht="31.2">
      <c r="A55" s="6"/>
      <c r="B55" s="15" t="s">
        <v>46</v>
      </c>
      <c r="C55" s="217" t="s">
        <v>90</v>
      </c>
      <c r="D55" s="52"/>
      <c r="E55" s="4"/>
      <c r="F55" s="76"/>
      <c r="G55" s="75"/>
      <c r="H55" s="75"/>
      <c r="I55" s="75"/>
      <c r="J55" s="75"/>
    </row>
    <row r="56" spans="1:10" s="48" customFormat="1" ht="15.6">
      <c r="A56" s="6"/>
      <c r="B56" s="53" t="s">
        <v>47</v>
      </c>
      <c r="C56" s="54"/>
      <c r="D56" s="55"/>
      <c r="E56" s="4"/>
      <c r="F56" s="76"/>
      <c r="G56" s="75"/>
      <c r="H56" s="75"/>
      <c r="I56" s="75"/>
      <c r="J56" s="75"/>
    </row>
    <row r="57" spans="1:10" s="48" customFormat="1" ht="15.6">
      <c r="A57" s="6"/>
      <c r="B57" s="56" t="s">
        <v>48</v>
      </c>
      <c r="C57" s="54"/>
      <c r="D57" s="57"/>
      <c r="E57" s="4"/>
      <c r="F57" s="76"/>
      <c r="G57" s="75"/>
      <c r="H57" s="75"/>
      <c r="I57" s="75"/>
      <c r="J57" s="75"/>
    </row>
    <row r="58" spans="1:10" s="48" customFormat="1" ht="15.6">
      <c r="A58" s="6"/>
      <c r="B58" s="58" t="s">
        <v>49</v>
      </c>
      <c r="C58" s="54"/>
      <c r="D58" s="57"/>
      <c r="E58" s="4"/>
      <c r="F58" s="76"/>
      <c r="G58" s="75"/>
      <c r="H58" s="75"/>
      <c r="I58" s="75"/>
      <c r="J58" s="75"/>
    </row>
    <row r="59" spans="1:10" s="48" customFormat="1" ht="15.6">
      <c r="A59" s="6"/>
      <c r="B59" s="59" t="s">
        <v>50</v>
      </c>
      <c r="C59" s="6"/>
      <c r="D59" s="60"/>
      <c r="E59" s="4"/>
      <c r="F59" s="76"/>
      <c r="G59" s="75"/>
      <c r="H59" s="75"/>
      <c r="I59" s="75"/>
      <c r="J59" s="75"/>
    </row>
    <row r="60" spans="1:10" s="48" customFormat="1">
      <c r="A60" s="6"/>
      <c r="B60" s="61" t="s">
        <v>51</v>
      </c>
      <c r="C60" s="62"/>
      <c r="D60" s="63"/>
      <c r="E60" s="4"/>
      <c r="F60" s="76"/>
      <c r="G60" s="75"/>
      <c r="H60" s="75"/>
      <c r="I60" s="75"/>
      <c r="J60" s="75"/>
    </row>
    <row r="61" spans="1:10" s="48" customFormat="1">
      <c r="A61" s="6"/>
      <c r="B61" s="64"/>
      <c r="C61" s="3"/>
      <c r="D61" s="50"/>
      <c r="E61" s="4"/>
      <c r="F61" s="76"/>
      <c r="G61" s="75"/>
      <c r="H61" s="75"/>
      <c r="I61" s="75"/>
      <c r="J61" s="75"/>
    </row>
    <row r="62" spans="1:10">
      <c r="F62" s="75"/>
      <c r="G62" s="75"/>
      <c r="H62" s="75"/>
      <c r="I62" s="75"/>
      <c r="J62" s="75"/>
    </row>
    <row r="63" spans="1:10">
      <c r="F63" s="75"/>
      <c r="G63" s="78"/>
      <c r="H63" s="75"/>
      <c r="I63" s="75"/>
      <c r="J63" s="75"/>
    </row>
    <row r="64" spans="1:10">
      <c r="G64" s="75"/>
      <c r="H64" s="75"/>
      <c r="I64" s="75"/>
    </row>
    <row r="65" spans="7:7">
      <c r="G65" s="77"/>
    </row>
  </sheetData>
  <sheetProtection selectLockedCells="1"/>
  <mergeCells count="6">
    <mergeCell ref="C9:D9"/>
    <mergeCell ref="C3:D3"/>
    <mergeCell ref="C4:D4"/>
    <mergeCell ref="C5:D5"/>
    <mergeCell ref="C6:D6"/>
    <mergeCell ref="C8:D8"/>
  </mergeCells>
  <printOptions headings="1"/>
  <pageMargins left="0.5" right="0.5" top="0.5" bottom="0.5" header="0.5" footer="0.5"/>
  <pageSetup fitToHeight="0" orientation="portrait" r:id="rId1"/>
  <headerFooter alignWithMargins="0"/>
  <rowBreaks count="1" manualBreakCount="1">
    <brk id="40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rgb="FF0000FF"/>
  </sheetPr>
  <dimension ref="A1:J64"/>
  <sheetViews>
    <sheetView showGridLines="0" showZeros="0" defaultGridColor="0" topLeftCell="A38" colorId="22" zoomScale="89" zoomScaleNormal="89" workbookViewId="0">
      <selection activeCell="C47" sqref="C47"/>
    </sheetView>
  </sheetViews>
  <sheetFormatPr defaultColWidth="9.90625" defaultRowHeight="15"/>
  <cols>
    <col min="1" max="1" width="7.90625" style="6" customWidth="1"/>
    <col min="2" max="2" width="32.08984375" style="6" customWidth="1"/>
    <col min="3" max="3" width="20.453125" style="6" customWidth="1"/>
    <col min="4" max="4" width="14.54296875" style="6" bestFit="1" customWidth="1"/>
    <col min="5" max="5" width="15.453125" style="48" customWidth="1"/>
    <col min="6" max="6" width="3.54296875" style="6" customWidth="1"/>
    <col min="7" max="7" width="9.90625" style="6"/>
    <col min="8" max="8" width="16.453125" style="6" bestFit="1" customWidth="1"/>
    <col min="9" max="9" width="26.08984375" style="6" bestFit="1" customWidth="1"/>
    <col min="10" max="10" width="14.54296875" style="6" bestFit="1" customWidth="1"/>
    <col min="11" max="16384" width="9.90625" style="6"/>
  </cols>
  <sheetData>
    <row r="1" spans="1:6" ht="17.399999999999999">
      <c r="A1" s="6">
        <v>1</v>
      </c>
      <c r="B1" s="1" t="s">
        <v>52</v>
      </c>
      <c r="C1" s="2">
        <f ca="1">TRUNC(NOW())</f>
        <v>44953</v>
      </c>
      <c r="D1" s="3"/>
      <c r="E1" s="4"/>
      <c r="F1" s="5"/>
    </row>
    <row r="2" spans="1:6" ht="15.6">
      <c r="B2" s="7" t="s">
        <v>192</v>
      </c>
      <c r="C2" s="8"/>
      <c r="D2" s="9"/>
      <c r="E2" s="4"/>
      <c r="F2" s="5"/>
    </row>
    <row r="3" spans="1:6">
      <c r="B3" s="10" t="s">
        <v>1</v>
      </c>
      <c r="C3" s="297"/>
      <c r="D3" s="298"/>
      <c r="E3" s="4"/>
      <c r="F3" s="5"/>
    </row>
    <row r="4" spans="1:6" ht="20.399999999999999" customHeight="1">
      <c r="B4" s="11" t="s">
        <v>2</v>
      </c>
      <c r="C4" s="299"/>
      <c r="D4" s="300"/>
      <c r="E4" s="4"/>
      <c r="F4" s="5"/>
    </row>
    <row r="5" spans="1:6">
      <c r="B5" s="11" t="s">
        <v>3</v>
      </c>
      <c r="C5" s="299"/>
      <c r="D5" s="301"/>
      <c r="E5" s="4"/>
      <c r="F5" s="5"/>
    </row>
    <row r="6" spans="1:6">
      <c r="B6" s="11" t="s">
        <v>4</v>
      </c>
      <c r="C6" s="299"/>
      <c r="D6" s="301"/>
      <c r="E6" s="4"/>
      <c r="F6" s="5"/>
    </row>
    <row r="7" spans="1:6" ht="15.6" thickBot="1">
      <c r="B7" s="12" t="s">
        <v>5</v>
      </c>
      <c r="C7" s="13" t="s">
        <v>6</v>
      </c>
      <c r="D7" s="14"/>
      <c r="E7" s="4"/>
      <c r="F7" s="5"/>
    </row>
    <row r="8" spans="1:6" ht="20.399999999999999" customHeight="1" thickTop="1">
      <c r="B8" s="15" t="s">
        <v>7</v>
      </c>
      <c r="C8" s="302"/>
      <c r="D8" s="303"/>
      <c r="E8" s="4"/>
      <c r="F8" s="5"/>
    </row>
    <row r="9" spans="1:6" ht="20.399999999999999" customHeight="1">
      <c r="B9" s="16" t="s">
        <v>8</v>
      </c>
      <c r="C9" s="295">
        <f>SUM(C39+C55)</f>
        <v>0</v>
      </c>
      <c r="D9" s="296"/>
      <c r="E9" s="4"/>
      <c r="F9" s="5"/>
    </row>
    <row r="10" spans="1:6" ht="20.399999999999999" customHeight="1">
      <c r="B10" s="17" t="s">
        <v>9</v>
      </c>
      <c r="C10" s="18" t="str">
        <f>IF(C8-C9=0,"0.00","")</f>
        <v>0.00</v>
      </c>
      <c r="D10" s="18" t="str">
        <f>IF(C8=0,"NA",(C8-C9))</f>
        <v>NA</v>
      </c>
      <c r="E10" s="19"/>
      <c r="F10" s="5"/>
    </row>
    <row r="11" spans="1:6" ht="43.35" customHeight="1">
      <c r="B11" s="20" t="s">
        <v>10</v>
      </c>
      <c r="C11" s="21" t="s">
        <v>11</v>
      </c>
      <c r="D11" s="22" t="s">
        <v>57</v>
      </c>
      <c r="E11" s="23"/>
      <c r="F11" s="5"/>
    </row>
    <row r="12" spans="1:6" ht="15" customHeight="1">
      <c r="B12" s="7" t="s">
        <v>12</v>
      </c>
      <c r="C12" s="24"/>
      <c r="D12" s="24"/>
      <c r="E12" s="25"/>
      <c r="F12" s="5"/>
    </row>
    <row r="13" spans="1:6">
      <c r="B13" s="16" t="s">
        <v>13</v>
      </c>
      <c r="C13" s="26">
        <f>IF(AND(CONTROLS!$J$5=4,CONTROLS!$J$12=3),CONTROLS!$J$9)/CONTROLS!$J$11</f>
        <v>0</v>
      </c>
      <c r="D13" s="27" t="b">
        <f>IF(C13&gt;0,1)</f>
        <v>0</v>
      </c>
      <c r="E13"/>
      <c r="F13" t="b">
        <f>IF(D13&gt;0,IF(C13&lt;0.00001,"VALUE MISSING",""))</f>
        <v>0</v>
      </c>
    </row>
    <row r="14" spans="1:6">
      <c r="B14" s="16" t="s">
        <v>14</v>
      </c>
      <c r="C14" s="26">
        <f>IF(AND(CONTROLS!$J$5=4,CONTROLS!$J$12=5),CONTROLS!$J$9)/CONTROLS!$J$11</f>
        <v>0</v>
      </c>
      <c r="D14" s="27" t="b">
        <f t="shared" ref="D14:D17" si="0">IF(C14&gt;0,1)</f>
        <v>0</v>
      </c>
      <c r="E14"/>
      <c r="F14" t="b">
        <f>IF(D14&gt;0,IF(C14&lt;0.00001,"VALUE MISSING",""))</f>
        <v>0</v>
      </c>
    </row>
    <row r="15" spans="1:6">
      <c r="B15" s="16" t="s">
        <v>15</v>
      </c>
      <c r="C15" s="26">
        <f>IF(AND(CONTROLS!$J$5=4,CONTROLS!$J$12=7),CONTROLS!$J$9)/CONTROLS!$J$11</f>
        <v>0</v>
      </c>
      <c r="D15" s="27" t="b">
        <f t="shared" si="0"/>
        <v>0</v>
      </c>
      <c r="E15"/>
      <c r="F15" t="b">
        <f>IF(D15&gt;0,IF(C15&lt;0.00001,"VALUE MISSING",""))</f>
        <v>0</v>
      </c>
    </row>
    <row r="16" spans="1:6">
      <c r="B16" s="16" t="s">
        <v>16</v>
      </c>
      <c r="C16" s="26">
        <f>IF(AND(CONTROLS!$J$5=4,CONTROLS!$J$12=9),CONTROLS!$J$9)/CONTROLS!$J$11</f>
        <v>0</v>
      </c>
      <c r="D16" s="27" t="b">
        <f t="shared" si="0"/>
        <v>0</v>
      </c>
      <c r="E16"/>
      <c r="F16"/>
    </row>
    <row r="17" spans="2:6">
      <c r="B17" s="16" t="s">
        <v>18</v>
      </c>
      <c r="C17" s="26">
        <f>IF(AND(CONTROLS!$J$5=4,CONTROLS!$J$12=11),CONTROLS!$J$9)/CONTROLS!$J$11</f>
        <v>0</v>
      </c>
      <c r="D17" s="27" t="b">
        <f t="shared" si="0"/>
        <v>0</v>
      </c>
      <c r="E17"/>
      <c r="F17"/>
    </row>
    <row r="18" spans="2:6">
      <c r="B18" s="16" t="s">
        <v>19</v>
      </c>
      <c r="C18" s="26">
        <f>IF(AND(CONTROLS!$J$5=4,CONTROLS!$J$12=13),CONTROLS!$J$9)/CONTROLS!$J$11</f>
        <v>0</v>
      </c>
      <c r="D18" s="28" t="s">
        <v>17</v>
      </c>
      <c r="E18"/>
      <c r="F18"/>
    </row>
    <row r="19" spans="2:6" ht="15.6" thickBot="1">
      <c r="B19" s="29" t="s">
        <v>20</v>
      </c>
      <c r="C19" s="26">
        <f>IF(AND(CONTROLS!$J$5=4,CONTROLS!$J$12=15),CONTROLS!$J$9)/CONTROLS!$J$11</f>
        <v>0</v>
      </c>
      <c r="D19" s="30" t="s">
        <v>17</v>
      </c>
      <c r="E19"/>
      <c r="F19"/>
    </row>
    <row r="20" spans="2:6" ht="15.6" thickBot="1">
      <c r="B20" s="31" t="s">
        <v>21</v>
      </c>
      <c r="C20" s="32">
        <f>SUM(C13:C19)</f>
        <v>0</v>
      </c>
      <c r="D20" s="33">
        <f>SUM(D13:D19)</f>
        <v>0</v>
      </c>
      <c r="E20"/>
      <c r="F20"/>
    </row>
    <row r="21" spans="2:6">
      <c r="B21" s="34"/>
      <c r="C21" s="34"/>
      <c r="D21" s="35"/>
      <c r="E21"/>
      <c r="F21"/>
    </row>
    <row r="22" spans="2:6" ht="15.6">
      <c r="B22" s="7" t="s">
        <v>22</v>
      </c>
      <c r="C22" s="16" t="s">
        <v>5</v>
      </c>
      <c r="D22" s="36"/>
      <c r="E22"/>
      <c r="F22"/>
    </row>
    <row r="23" spans="2:6">
      <c r="B23" s="16" t="s">
        <v>23</v>
      </c>
      <c r="C23" s="26">
        <f>IF(AND(CONTROLS!$J$5=4,CONTROLS!$J$12=19),CONTROLS!$J$9)/CONTROLS!$J$11</f>
        <v>0</v>
      </c>
      <c r="D23" s="27" t="b">
        <f>IF(C23&gt;0,1)</f>
        <v>0</v>
      </c>
      <c r="E23"/>
      <c r="F23" t="b">
        <f t="shared" ref="F23:F29" si="1">IF(D23&gt;0,IF(C23&lt;0.00001,"VALUE MISSING",""))</f>
        <v>0</v>
      </c>
    </row>
    <row r="24" spans="2:6">
      <c r="B24" s="16" t="s">
        <v>13</v>
      </c>
      <c r="C24" s="26">
        <f>IF(AND(CONTROLS!$J$5=4,CONTROLS!$J$12=21),CONTROLS!$J$9)/CONTROLS!$J$11</f>
        <v>0</v>
      </c>
      <c r="D24" s="27" t="b">
        <f t="shared" ref="D24:D34" si="2">IF(C24&gt;0,1)</f>
        <v>0</v>
      </c>
      <c r="E24"/>
      <c r="F24" t="b">
        <f t="shared" si="1"/>
        <v>0</v>
      </c>
    </row>
    <row r="25" spans="2:6">
      <c r="B25" s="16" t="s">
        <v>24</v>
      </c>
      <c r="C25" s="26">
        <f>IF(AND(CONTROLS!$J$5=4,CONTROLS!$J$12=23),CONTROLS!$J$9)/CONTROLS!$J$11</f>
        <v>0</v>
      </c>
      <c r="D25" s="27" t="b">
        <f t="shared" si="2"/>
        <v>0</v>
      </c>
      <c r="E25"/>
      <c r="F25" t="b">
        <f t="shared" si="1"/>
        <v>0</v>
      </c>
    </row>
    <row r="26" spans="2:6">
      <c r="B26" s="16" t="s">
        <v>25</v>
      </c>
      <c r="C26" s="26">
        <f>IF(AND(CONTROLS!$J$5=4,CONTROLS!$J$12=25),CONTROLS!$J$9)/CONTROLS!$J$11</f>
        <v>0</v>
      </c>
      <c r="D26" s="27" t="b">
        <f t="shared" si="2"/>
        <v>0</v>
      </c>
      <c r="E26"/>
      <c r="F26" t="b">
        <f t="shared" si="1"/>
        <v>0</v>
      </c>
    </row>
    <row r="27" spans="2:6">
      <c r="B27" s="16" t="s">
        <v>26</v>
      </c>
      <c r="C27" s="26">
        <f>IF(AND(CONTROLS!$J$5=4,CONTROLS!$J$12=27),CONTROLS!$J$9)/CONTROLS!$J$11</f>
        <v>0</v>
      </c>
      <c r="D27" s="27" t="b">
        <f t="shared" si="2"/>
        <v>0</v>
      </c>
      <c r="E27"/>
      <c r="F27" t="b">
        <f t="shared" si="1"/>
        <v>0</v>
      </c>
    </row>
    <row r="28" spans="2:6">
      <c r="B28" s="16" t="s">
        <v>27</v>
      </c>
      <c r="C28" s="26">
        <f>IF(AND(CONTROLS!$J$5=4,CONTROLS!$J$12=29),CONTROLS!$J$9)/CONTROLS!$J$11</f>
        <v>0</v>
      </c>
      <c r="D28" s="27" t="b">
        <f t="shared" si="2"/>
        <v>0</v>
      </c>
      <c r="E28"/>
      <c r="F28" t="b">
        <f t="shared" si="1"/>
        <v>0</v>
      </c>
    </row>
    <row r="29" spans="2:6">
      <c r="B29" s="16" t="s">
        <v>28</v>
      </c>
      <c r="C29" s="26">
        <f>IF(AND(CONTROLS!$J$5=4,CONTROLS!$J$12=31),CONTROLS!$J$9)/CONTROLS!$J$11</f>
        <v>0</v>
      </c>
      <c r="D29" s="27" t="b">
        <f t="shared" si="2"/>
        <v>0</v>
      </c>
      <c r="E29"/>
      <c r="F29" t="b">
        <f t="shared" si="1"/>
        <v>0</v>
      </c>
    </row>
    <row r="30" spans="2:6">
      <c r="B30" s="16" t="s">
        <v>16</v>
      </c>
      <c r="C30" s="26">
        <f>IF(AND(CONTROLS!$J$5=4,CONTROLS!$J$12=33),CONTROLS!$J$9)/CONTROLS!$J$11</f>
        <v>0</v>
      </c>
      <c r="D30" s="27" t="b">
        <f t="shared" si="2"/>
        <v>0</v>
      </c>
      <c r="E30"/>
      <c r="F30"/>
    </row>
    <row r="31" spans="2:6">
      <c r="B31" s="16" t="s">
        <v>18</v>
      </c>
      <c r="C31" s="26">
        <f>IF(AND(CONTROLS!$J$5=4,CONTROLS!$J$12=35),CONTROLS!$J$9)/CONTROLS!$J$11</f>
        <v>0</v>
      </c>
      <c r="D31" s="27" t="b">
        <f t="shared" si="2"/>
        <v>0</v>
      </c>
      <c r="E31"/>
      <c r="F31"/>
    </row>
    <row r="32" spans="2:6">
      <c r="B32" s="16" t="s">
        <v>19</v>
      </c>
      <c r="C32" s="26">
        <f>IF(AND(CONTROLS!$J$5=4,CONTROLS!$J$12=37),CONTROLS!$J$9)/CONTROLS!$J$11</f>
        <v>0</v>
      </c>
      <c r="D32" s="28" t="s">
        <v>17</v>
      </c>
      <c r="E32"/>
      <c r="F32"/>
    </row>
    <row r="33" spans="1:10">
      <c r="B33" s="16" t="s">
        <v>29</v>
      </c>
      <c r="C33" s="26">
        <f>IF(AND(CONTROLS!$J$5=4,CONTROLS!$J$12=39),CONTROLS!$J$9)/CONTROLS!$J$11</f>
        <v>0</v>
      </c>
      <c r="D33" s="27" t="b">
        <f t="shared" si="2"/>
        <v>0</v>
      </c>
      <c r="E33"/>
      <c r="F33"/>
    </row>
    <row r="34" spans="1:10">
      <c r="B34" s="16" t="s">
        <v>30</v>
      </c>
      <c r="C34" s="26">
        <f>IF(AND(CONTROLS!$J$5=4,CONTROLS!$J$12=41),CONTROLS!$J$9)/CONTROLS!$J$11</f>
        <v>0</v>
      </c>
      <c r="D34" s="27" t="b">
        <f t="shared" si="2"/>
        <v>0</v>
      </c>
      <c r="E34"/>
      <c r="F34"/>
    </row>
    <row r="35" spans="1:10">
      <c r="B35" s="16" t="s">
        <v>31</v>
      </c>
      <c r="C35" s="26">
        <f>IF(AND(CONTROLS!$J$5=4,CONTROLS!$J$12=43),CONTROLS!$J$9)/CONTROLS!$J$11</f>
        <v>0</v>
      </c>
      <c r="D35" s="28" t="s">
        <v>17</v>
      </c>
      <c r="E35"/>
      <c r="F35"/>
    </row>
    <row r="36" spans="1:10" ht="15.6" thickBot="1">
      <c r="B36" s="29" t="s">
        <v>32</v>
      </c>
      <c r="C36" s="26">
        <f>IF(AND(CONTROLS!$J$5=4,CONTROLS!$J$12=45),CONTROLS!$J$9)/CONTROLS!$J$11</f>
        <v>0</v>
      </c>
      <c r="D36" s="30" t="s">
        <v>17</v>
      </c>
      <c r="E36"/>
      <c r="F36"/>
    </row>
    <row r="37" spans="1:10" ht="15.6" thickBot="1">
      <c r="B37" s="31" t="s">
        <v>33</v>
      </c>
      <c r="C37" s="32">
        <f>SUM(C23:C36)</f>
        <v>0</v>
      </c>
      <c r="D37" s="33">
        <f>SUM(D23:D36)</f>
        <v>0</v>
      </c>
      <c r="E37"/>
      <c r="F37"/>
    </row>
    <row r="38" spans="1:10" ht="15.6" thickBot="1">
      <c r="B38" s="38"/>
      <c r="C38" s="39"/>
      <c r="D38" s="40"/>
      <c r="E38"/>
      <c r="F38"/>
    </row>
    <row r="39" spans="1:10" ht="15.6" thickBot="1">
      <c r="B39" s="31" t="s">
        <v>34</v>
      </c>
      <c r="C39" s="32">
        <f>C20+C37</f>
        <v>0</v>
      </c>
      <c r="D39" s="33">
        <f>D20+D37</f>
        <v>0</v>
      </c>
      <c r="E39"/>
      <c r="F39"/>
      <c r="J39" s="153" t="s">
        <v>130</v>
      </c>
    </row>
    <row r="40" spans="1:10">
      <c r="B40" s="41" t="s">
        <v>5</v>
      </c>
      <c r="C40" s="65"/>
      <c r="D40" s="42"/>
      <c r="E40"/>
      <c r="F40"/>
      <c r="J40" s="153" t="s">
        <v>131</v>
      </c>
    </row>
    <row r="41" spans="1:10">
      <c r="B41" s="16" t="s">
        <v>35</v>
      </c>
      <c r="C41" s="66" t="s">
        <v>86</v>
      </c>
      <c r="D41" s="43" t="s">
        <v>85</v>
      </c>
      <c r="E41" s="256" t="s">
        <v>134</v>
      </c>
      <c r="F41" s="257"/>
      <c r="G41" s="258"/>
      <c r="H41" s="258"/>
      <c r="J41" s="153" t="s">
        <v>133</v>
      </c>
    </row>
    <row r="42" spans="1:10">
      <c r="A42" s="6">
        <v>211</v>
      </c>
      <c r="B42" s="16" t="s">
        <v>36</v>
      </c>
      <c r="C42" s="198">
        <f>MIN(ROUND(60*SUM(D13+D14+D15+D23+D24+D25+D26+D27+D28+D29),2),SUM(ROUND(((C13+C14+C15+C23+C24+C25+C26+C27+C28+C29)/1000*0.1*12),2)))</f>
        <v>0</v>
      </c>
      <c r="D42" s="198">
        <f>ROUND(C42*CONTROLS!$J$11,2)</f>
        <v>0</v>
      </c>
      <c r="E42" s="259" t="s">
        <v>190</v>
      </c>
      <c r="F42" s="260"/>
      <c r="G42" s="258"/>
      <c r="H42" s="255"/>
      <c r="I42" s="75"/>
      <c r="J42" s="153" t="s">
        <v>132</v>
      </c>
    </row>
    <row r="43" spans="1:10">
      <c r="A43" s="6">
        <v>213</v>
      </c>
      <c r="B43" s="45" t="s">
        <v>37</v>
      </c>
      <c r="C43" s="198">
        <f>ROUND(((D13+D14+D15+D16+D17+D23+D24+D25+D26+D27+D28+D29+D30+D31)*43.13),2)</f>
        <v>0</v>
      </c>
      <c r="D43" s="198">
        <f>(C43*CONTROLS!$J$11)</f>
        <v>0</v>
      </c>
      <c r="E43" s="259" t="s">
        <v>189</v>
      </c>
      <c r="F43" s="260"/>
      <c r="G43" s="258"/>
      <c r="H43" s="258"/>
      <c r="I43" s="16" t="s">
        <v>35</v>
      </c>
      <c r="J43" s="66"/>
    </row>
    <row r="44" spans="1:10">
      <c r="A44" s="6">
        <v>215</v>
      </c>
      <c r="B44" s="16" t="s">
        <v>38</v>
      </c>
      <c r="C44" s="44">
        <f>MIN(ROUND(91.2*SUM(D13+D14+D15+D23+D24+D25+D26+D27+D28+D29),2),SUM(ROUND(((C13+C14+C15+C23+C24+C25+C26+C27+C28+C29)/100*0.19),2)))</f>
        <v>0</v>
      </c>
      <c r="D44" s="44">
        <f>ROUND(C44*CONTROLS!$J$11,0)</f>
        <v>0</v>
      </c>
      <c r="E44" s="4"/>
      <c r="F44" s="5"/>
      <c r="H44" s="6">
        <v>211</v>
      </c>
      <c r="I44" s="16" t="s">
        <v>36</v>
      </c>
      <c r="J44" s="199">
        <f>IF(OR(CONTROLS!$J$12=13,CONTROLS!$J$12=15,CONTROLS!$J$12=37,CONTROLS!$J$12=43,CONTROLS!$J$12=45),ROUND(C42,0),D42)</f>
        <v>0</v>
      </c>
    </row>
    <row r="45" spans="1:10">
      <c r="A45" s="6">
        <v>221</v>
      </c>
      <c r="B45" s="16" t="s">
        <v>39</v>
      </c>
      <c r="C45" s="44">
        <f>ROUND((C24+C25+C26+C27+C28+C29+C30+C31+C32+C34+C35)*(0.062),2)</f>
        <v>0</v>
      </c>
      <c r="D45" s="44">
        <f>ROUND(C45*CONTROLS!$J$11,0)</f>
        <v>0</v>
      </c>
      <c r="E45" s="4"/>
      <c r="F45" s="5"/>
      <c r="H45" s="6">
        <v>213</v>
      </c>
      <c r="I45" s="45" t="s">
        <v>37</v>
      </c>
      <c r="J45" s="199">
        <f>IF(OR(CONTROLS!$J$12=13,CONTROLS!$J$12=15,CONTROLS!$J$12=37,CONTROLS!$J$12=43,CONTROLS!$J$12=45),C43,D43)</f>
        <v>0</v>
      </c>
    </row>
    <row r="46" spans="1:10" ht="15" customHeight="1">
      <c r="A46" s="6">
        <v>222</v>
      </c>
      <c r="B46" s="16" t="s">
        <v>40</v>
      </c>
      <c r="C46" s="44">
        <f>ROUND((C37-C33+C20)*0.0145,2)</f>
        <v>0</v>
      </c>
      <c r="D46" s="44">
        <f>ROUND(C46*CONTROLS!$J$11,0)</f>
        <v>0</v>
      </c>
      <c r="E46" s="4"/>
      <c r="F46" s="5"/>
      <c r="H46" s="6">
        <v>215</v>
      </c>
      <c r="I46" s="16" t="s">
        <v>38</v>
      </c>
      <c r="J46" s="128">
        <f>IF(OR(CONTROLS!$J$12=13,CONTROLS!$J$12=15,CONTROLS!$J$12=37,CONTROLS!$J$12=43,CONTROLS!$J$12=45),ROUND(C44,0),D44)</f>
        <v>0</v>
      </c>
    </row>
    <row r="47" spans="1:10">
      <c r="A47" s="6">
        <v>231</v>
      </c>
      <c r="B47" s="16" t="s">
        <v>41</v>
      </c>
      <c r="C47" s="44">
        <f>ROUND(((+C13+C14+C16+C17+C18+C15+C19+C23+C36)*0.17105),2)</f>
        <v>0</v>
      </c>
      <c r="D47" s="44">
        <f>ROUND(C47*CONTROLS!$J$11,0)</f>
        <v>0</v>
      </c>
      <c r="E47" s="4"/>
      <c r="F47" s="5"/>
      <c r="H47" s="6">
        <v>221</v>
      </c>
      <c r="I47" s="16" t="s">
        <v>39</v>
      </c>
      <c r="J47" s="128">
        <f>IF(OR(CONTROLS!$J$12=13,CONTROLS!$J$12=15,CONTROLS!$J$12=37,CONTROLS!$J$12=43,CONTROLS!$J$12=45),ROUND(C45,0),D45)</f>
        <v>0</v>
      </c>
    </row>
    <row r="48" spans="1:10" ht="14.25" customHeight="1">
      <c r="A48" s="6">
        <v>232</v>
      </c>
      <c r="B48" s="16" t="s">
        <v>42</v>
      </c>
      <c r="C48" s="44">
        <f>ROUND(((C24+C25+C26+C27+C28+C29+C32+C35)*0.3),2)</f>
        <v>0</v>
      </c>
      <c r="D48" s="44">
        <f>ROUND(C48*CONTROLS!$J$11,0)</f>
        <v>0</v>
      </c>
      <c r="E48" s="4"/>
      <c r="F48" s="5"/>
      <c r="H48" s="6">
        <v>222</v>
      </c>
      <c r="I48" s="16" t="s">
        <v>40</v>
      </c>
      <c r="J48" s="128">
        <f>IF(OR(CONTROLS!$J$12=13,CONTROLS!$J$12=15,CONTROLS!$J$12=37,CONTROLS!$J$12=43,CONTROLS!$J$12=45),ROUND(C46,0),D46)</f>
        <v>0</v>
      </c>
    </row>
    <row r="49" spans="1:10">
      <c r="A49" s="6">
        <v>253</v>
      </c>
      <c r="B49" s="16" t="s">
        <v>43</v>
      </c>
      <c r="C49" s="44">
        <f>ROUND(((D13+D14+D15+D16+D23+D24+D25+D26+D27+D28+D29+D30)*60),2)+SUM(C17+C18+C19+C31+C32+C35+C36)*0.01</f>
        <v>0</v>
      </c>
      <c r="D49" s="44">
        <f>ROUND(C49*CONTROLS!$J$11,0)</f>
        <v>0</v>
      </c>
      <c r="E49" s="4"/>
      <c r="F49" s="5"/>
      <c r="H49" s="6">
        <v>231</v>
      </c>
      <c r="I49" s="16" t="s">
        <v>41</v>
      </c>
      <c r="J49" s="128">
        <f>IF(OR(CONTROLS!$J$12=13,CONTROLS!$J$12=15,CONTROLS!$J$12=37,CONTROLS!$J$12=43,CONTROLS!$J$12=45),ROUND(C47,0),D47)</f>
        <v>0</v>
      </c>
    </row>
    <row r="50" spans="1:10">
      <c r="A50" s="6">
        <v>260</v>
      </c>
      <c r="B50" s="16" t="s">
        <v>44</v>
      </c>
      <c r="C50" s="44">
        <f>ROUND(((C13+C14+C16+C17+C15+C18+C23+C24+C25+C26+C30+C31+C32+C33+C34+C19+C35+C36)/100*0.26+(C27+C28)/100*2.18+(C29/100)*3.81),2)</f>
        <v>0</v>
      </c>
      <c r="D50" s="44">
        <f>ROUND(C50*CONTROLS!$J$11,0)</f>
        <v>0</v>
      </c>
      <c r="E50" s="4"/>
      <c r="F50" s="5"/>
      <c r="H50" s="6">
        <v>232</v>
      </c>
      <c r="I50" s="16" t="s">
        <v>42</v>
      </c>
      <c r="J50" s="128">
        <f>IF(OR(CONTROLS!$J$12=13,CONTROLS!$J$12=15,CONTROLS!$J$12=37,CONTROLS!$J$12=43,CONTROLS!$J$12=45),ROUND(C48,0),D48)</f>
        <v>0</v>
      </c>
    </row>
    <row r="51" spans="1:10">
      <c r="A51" s="6">
        <v>294</v>
      </c>
      <c r="B51" s="16" t="s">
        <v>53</v>
      </c>
      <c r="C51" s="67">
        <f>ROUND((D13+D14+D15+D23+D24+D25+D26+D27+D28+D29)*7200,2)</f>
        <v>0</v>
      </c>
      <c r="D51" s="44">
        <f>ROUND(C51*CONTROLS!$J$11,0)</f>
        <v>0</v>
      </c>
      <c r="E51" s="4"/>
      <c r="F51" s="5"/>
      <c r="H51" s="6">
        <v>253</v>
      </c>
      <c r="I51" s="16" t="s">
        <v>43</v>
      </c>
      <c r="J51" s="128">
        <f>IF(OR(CONTROLS!$J$12=13,CONTROLS!$J$12=15,CONTROLS!$J$12=37,CONTROLS!$J$12=43,CONTROLS!$J$12=45),ROUND(C49,0),D49)</f>
        <v>0</v>
      </c>
    </row>
    <row r="52" spans="1:10">
      <c r="A52" s="6">
        <v>295</v>
      </c>
      <c r="B52" s="16" t="s">
        <v>54</v>
      </c>
      <c r="C52" s="68">
        <f xml:space="preserve"> ROUND((D13+D14+D15+D23+D24+D25+D26+D27+D28+D29)*12,2)</f>
        <v>0</v>
      </c>
      <c r="D52" s="44">
        <f>ROUND(C52*CONTROLS!$J$11,0)</f>
        <v>0</v>
      </c>
      <c r="E52" s="4"/>
      <c r="F52" s="5"/>
      <c r="H52" s="6">
        <v>260</v>
      </c>
      <c r="I52" s="16" t="s">
        <v>44</v>
      </c>
      <c r="J52" s="128">
        <f>IF(OR(CONTROLS!$J$12=13,CONTROLS!$J$12=15,CONTROLS!$J$12=37,CONTROLS!$J$12=43,CONTROLS!$J$12=45),ROUND(C50,0),D50)</f>
        <v>0</v>
      </c>
    </row>
    <row r="53" spans="1:10">
      <c r="A53" s="6">
        <v>296</v>
      </c>
      <c r="B53" s="16" t="s">
        <v>55</v>
      </c>
      <c r="C53" s="200">
        <f>ROUND((D13+D14+D15+D23+D24+D25+D26+D27+D28+D29)*96,2)</f>
        <v>0</v>
      </c>
      <c r="D53" s="198">
        <f>C53*CONTROLS!$J$11</f>
        <v>0</v>
      </c>
      <c r="E53" s="4"/>
      <c r="F53" s="5"/>
      <c r="H53" s="6">
        <v>294</v>
      </c>
      <c r="I53" s="16" t="s">
        <v>53</v>
      </c>
      <c r="J53" s="128">
        <f>IF(OR(CONTROLS!$J$12=13,CONTROLS!$J$12=15,CONTROLS!$J$12=37,CONTROLS!$J$12=43,CONTROLS!$J$12=45),ROUND(C51,0),D51)</f>
        <v>0</v>
      </c>
    </row>
    <row r="54" spans="1:10">
      <c r="B54" s="16"/>
      <c r="C54" s="44"/>
      <c r="D54" s="72"/>
      <c r="E54" s="4"/>
      <c r="F54" s="5"/>
      <c r="H54" s="6">
        <v>295</v>
      </c>
      <c r="I54" s="16" t="s">
        <v>54</v>
      </c>
      <c r="J54" s="128">
        <f>IF(OR(CONTROLS!$J$12=13,CONTROLS!$J$12=15,CONTROLS!$J$12=37,CONTROLS!$J$12=43,CONTROLS!$J$12=45),ROUND(C52,0),D52)</f>
        <v>0</v>
      </c>
    </row>
    <row r="55" spans="1:10">
      <c r="B55" s="16" t="s">
        <v>45</v>
      </c>
      <c r="C55" s="44">
        <f>SUM(C42:C53)</f>
        <v>0</v>
      </c>
      <c r="D55" s="44">
        <f>SUM(D42:D53)</f>
        <v>0</v>
      </c>
      <c r="E55" s="4"/>
      <c r="F55" s="5"/>
      <c r="H55" s="6">
        <v>296</v>
      </c>
      <c r="I55" s="16" t="s">
        <v>55</v>
      </c>
      <c r="J55" s="199">
        <f>IF(OR(CONTROLS!$J$12=13,CONTROLS!$J$12=15,CONTROLS!$J$12=37,CONTROLS!$J$12=43,CONTROLS!$J$12=45),C53,D53)</f>
        <v>0</v>
      </c>
    </row>
    <row r="56" spans="1:10" ht="17.399999999999999">
      <c r="B56" s="16" t="s">
        <v>6</v>
      </c>
      <c r="C56" s="69" t="s">
        <v>5</v>
      </c>
      <c r="D56" s="73" t="s">
        <v>5</v>
      </c>
      <c r="E56" s="4"/>
      <c r="F56" s="5"/>
      <c r="I56" s="51"/>
      <c r="J56" s="123"/>
    </row>
    <row r="57" spans="1:10" ht="17.399999999999999">
      <c r="B57" s="70" t="s">
        <v>8</v>
      </c>
      <c r="C57" s="129">
        <f>C39+C55</f>
        <v>0</v>
      </c>
      <c r="D57" s="215">
        <f>CONTROLS!$J$9+D55</f>
        <v>0</v>
      </c>
      <c r="E57" s="216" t="s">
        <v>89</v>
      </c>
      <c r="F57" s="5"/>
      <c r="I57" s="7" t="s">
        <v>45</v>
      </c>
      <c r="J57" s="127">
        <f>SUM(J44:J55)</f>
        <v>0</v>
      </c>
    </row>
    <row r="58" spans="1:10" ht="32.4" customHeight="1">
      <c r="B58" s="15" t="s">
        <v>46</v>
      </c>
      <c r="C58" s="125" t="s">
        <v>90</v>
      </c>
      <c r="D58" s="52"/>
      <c r="E58" s="4"/>
      <c r="F58" s="5"/>
      <c r="I58" s="16" t="s">
        <v>6</v>
      </c>
      <c r="J58" s="123"/>
    </row>
    <row r="59" spans="1:10" ht="17.399999999999999">
      <c r="B59" s="53" t="s">
        <v>47</v>
      </c>
      <c r="C59" s="71"/>
      <c r="D59" s="55"/>
      <c r="E59" s="4"/>
      <c r="F59" s="5"/>
      <c r="I59" s="51" t="s">
        <v>91</v>
      </c>
      <c r="J59" s="123">
        <f>IF(OR(CONTROLS!$J$12=13,CONTROLS!$J$12=15,CONTROLS!$J$12=37,CONTROLS!$J$12=43,CONTROLS!$J$12=45),ROUND(C57,0),D57)</f>
        <v>0</v>
      </c>
    </row>
    <row r="60" spans="1:10" ht="15.6">
      <c r="B60" s="56" t="s">
        <v>48</v>
      </c>
      <c r="C60" s="54"/>
      <c r="D60" s="57"/>
      <c r="E60" s="4"/>
      <c r="F60" s="5"/>
      <c r="I60" s="48"/>
    </row>
    <row r="61" spans="1:10" s="48" customFormat="1" ht="15.6">
      <c r="A61" s="6"/>
      <c r="B61" s="58" t="s">
        <v>49</v>
      </c>
      <c r="C61" s="54"/>
      <c r="D61" s="57"/>
      <c r="E61" s="4"/>
      <c r="F61" s="4"/>
    </row>
    <row r="62" spans="1:10" s="48" customFormat="1" ht="15" customHeight="1">
      <c r="A62" s="6"/>
      <c r="B62" s="59" t="s">
        <v>50</v>
      </c>
      <c r="C62" s="6"/>
      <c r="D62" s="60"/>
      <c r="E62" s="4"/>
      <c r="F62" s="4"/>
    </row>
    <row r="63" spans="1:10" s="48" customFormat="1" ht="15" customHeight="1">
      <c r="A63" s="6"/>
      <c r="B63" s="61"/>
      <c r="C63" s="62"/>
      <c r="D63" s="63"/>
      <c r="E63" s="4"/>
      <c r="F63" s="4"/>
    </row>
    <row r="64" spans="1:10" s="48" customFormat="1">
      <c r="A64" s="6"/>
      <c r="B64" s="64"/>
      <c r="C64" s="3"/>
      <c r="D64" s="50"/>
      <c r="E64" s="4"/>
      <c r="F64" s="4"/>
    </row>
  </sheetData>
  <sheetProtection selectLockedCells="1"/>
  <mergeCells count="6">
    <mergeCell ref="C9:D9"/>
    <mergeCell ref="C3:D3"/>
    <mergeCell ref="C4:D4"/>
    <mergeCell ref="C5:D5"/>
    <mergeCell ref="C6:D6"/>
    <mergeCell ref="C8:D8"/>
  </mergeCells>
  <pageMargins left="0.5" right="0.5" top="0.5" bottom="0.5" header="0.5" footer="0.5"/>
  <pageSetup orientation="portrait" r:id="rId1"/>
  <headerFooter alignWithMargins="0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FRINGE ESTIMATOR</vt:lpstr>
      <vt:lpstr>CONTROLS</vt:lpstr>
      <vt:lpstr>NON FED 23-24</vt:lpstr>
      <vt:lpstr>FEDERAL 23-24</vt:lpstr>
      <vt:lpstr>'FEDERAL 23-24'!Print_Area</vt:lpstr>
      <vt:lpstr>'FRINGE ESTIMATOR'!Print_Area</vt:lpstr>
      <vt:lpstr>'NON FED 23-24'!Print_Area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Rowland, Tara G.</cp:lastModifiedBy>
  <cp:lastPrinted>2021-09-22T16:18:24Z</cp:lastPrinted>
  <dcterms:created xsi:type="dcterms:W3CDTF">2013-02-01T18:56:09Z</dcterms:created>
  <dcterms:modified xsi:type="dcterms:W3CDTF">2023-01-27T13:40:19Z</dcterms:modified>
</cp:coreProperties>
</file>